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FILES\My Documents\0_PERSONAL\CYKLISTIKA\S2014\140808_Lanskroun\"/>
    </mc:Choice>
  </mc:AlternateContent>
  <bookViews>
    <workbookView xWindow="225" yWindow="420" windowWidth="23145" windowHeight="11145" tabRatio="883" activeTab="13"/>
  </bookViews>
  <sheets>
    <sheet name="CTRL" sheetId="25" r:id="rId1"/>
    <sheet name="PA1" sheetId="47" state="hidden" r:id="rId2"/>
    <sheet name="PA2" sheetId="73" state="hidden" r:id="rId3"/>
    <sheet name="PA3" sheetId="81" state="hidden" r:id="rId4"/>
    <sheet name="PA4" sheetId="83" r:id="rId5"/>
    <sheet name="SL" sheetId="50" r:id="rId6"/>
    <sheet name="SL2" sheetId="76" r:id="rId7"/>
    <sheet name="E1" sheetId="44" r:id="rId8"/>
    <sheet name="After1st" sheetId="52" r:id="rId9"/>
    <sheet name="E2" sheetId="77" r:id="rId10"/>
    <sheet name="After2nd" sheetId="79" r:id="rId11"/>
    <sheet name="PR1" sheetId="75" state="hidden" r:id="rId12"/>
    <sheet name="E3" sheetId="84" r:id="rId13"/>
    <sheet name="After3rd" sheetId="85" r:id="rId14"/>
    <sheet name="PR2" sheetId="78" state="hidden" r:id="rId15"/>
    <sheet name="GC1" sheetId="72" state="hidden" r:id="rId16"/>
    <sheet name="PR3" sheetId="86" r:id="rId17"/>
    <sheet name="GC2" sheetId="82" state="hidden" r:id="rId18"/>
    <sheet name="GC3" sheetId="87" r:id="rId19"/>
  </sheets>
  <definedNames>
    <definedName name="_xlnm._FilterDatabase" localSheetId="10" hidden="1">After2nd!$T$12:$V$129</definedName>
    <definedName name="_xlnm._FilterDatabase" localSheetId="13" hidden="1">After3rd!$T$12:$V$129</definedName>
    <definedName name="_xlnm._FilterDatabase" localSheetId="7" hidden="1">'E1'!$B$132:$I$141</definedName>
    <definedName name="_xlnm._FilterDatabase" localSheetId="9" hidden="1">'E2'!$B$12:$N$44</definedName>
    <definedName name="_xlnm._FilterDatabase" localSheetId="12" hidden="1">'E3'!#REF!</definedName>
    <definedName name="_xlnm._FilterDatabase" localSheetId="11" hidden="1">'PR1'!$B$12:$S$47</definedName>
    <definedName name="_xlnm._FilterDatabase" localSheetId="14" hidden="1">'PR2'!$B$12:$S$47</definedName>
    <definedName name="_xlnm._FilterDatabase" localSheetId="16" hidden="1">'PR3'!$B$12:$T$47</definedName>
    <definedName name="AFTER2">After2nd!$B$12:$N$128</definedName>
    <definedName name="AFTER3">After3rd!$B$12:$N$128</definedName>
    <definedName name="BODO3">'PR3'!$B$12:$B$47</definedName>
    <definedName name="BODOVACITST4" localSheetId="11">'PR1'!$B$12:$B$47</definedName>
    <definedName name="ODDIL">CTRL!$V$3:$Y$24</definedName>
    <definedName name="STARTOVKA">SL!$B$12:$H$141</definedName>
    <definedName name="VRCH3">'PR3'!$B$52:$B$70</definedName>
  </definedNames>
  <calcPr calcId="152511" concurrentCalc="0"/>
</workbook>
</file>

<file path=xl/calcChain.xml><?xml version="1.0" encoding="utf-8"?>
<calcChain xmlns="http://schemas.openxmlformats.org/spreadsheetml/2006/main">
  <c r="A11" i="85" l="1"/>
  <c r="K11" i="79"/>
  <c r="K11" i="84"/>
  <c r="I26" i="85"/>
  <c r="I12" i="85"/>
  <c r="K11" i="85"/>
  <c r="K12" i="84"/>
  <c r="K13" i="84"/>
  <c r="K14" i="84"/>
  <c r="O128" i="84"/>
  <c r="O127" i="84"/>
  <c r="O126" i="84"/>
  <c r="O125" i="84"/>
  <c r="O124" i="84"/>
  <c r="O123" i="84"/>
  <c r="O122" i="84"/>
  <c r="O121" i="84"/>
  <c r="O120" i="84"/>
  <c r="O119" i="84"/>
  <c r="O118" i="84"/>
  <c r="O117" i="84"/>
  <c r="O116" i="84"/>
  <c r="O115" i="84"/>
  <c r="O114" i="84"/>
  <c r="O113" i="84"/>
  <c r="O112" i="84"/>
  <c r="O111" i="84"/>
  <c r="O110" i="84"/>
  <c r="O109" i="84"/>
  <c r="O108" i="84"/>
  <c r="O107" i="84"/>
  <c r="O106" i="84"/>
  <c r="O105" i="84"/>
  <c r="O104" i="84"/>
  <c r="O103" i="84"/>
  <c r="O102" i="84"/>
  <c r="O101" i="84"/>
  <c r="O100" i="84"/>
  <c r="O99" i="84"/>
  <c r="O98" i="84"/>
  <c r="O97" i="84"/>
  <c r="O96" i="84"/>
  <c r="O95" i="84"/>
  <c r="O94" i="84"/>
  <c r="O93" i="84"/>
  <c r="O92" i="84"/>
  <c r="O91" i="84"/>
  <c r="O90" i="84"/>
  <c r="O89" i="84"/>
  <c r="O88" i="84"/>
  <c r="O87" i="84"/>
  <c r="O86" i="84"/>
  <c r="O85" i="84"/>
  <c r="O84" i="84"/>
  <c r="O83" i="84"/>
  <c r="O82" i="84"/>
  <c r="O81" i="84"/>
  <c r="O80" i="84"/>
  <c r="O79" i="84"/>
  <c r="O78" i="84"/>
  <c r="O77" i="84"/>
  <c r="O76" i="84"/>
  <c r="O75" i="84"/>
  <c r="O74" i="84"/>
  <c r="O73" i="84"/>
  <c r="O72" i="84"/>
  <c r="O71" i="84"/>
  <c r="O70" i="84"/>
  <c r="O69" i="84"/>
  <c r="O68" i="84"/>
  <c r="O67" i="84"/>
  <c r="O66" i="84"/>
  <c r="O65" i="84"/>
  <c r="O64" i="84"/>
  <c r="O63" i="84"/>
  <c r="O62" i="84"/>
  <c r="O61" i="84"/>
  <c r="O60" i="84"/>
  <c r="O59" i="84"/>
  <c r="O58" i="84"/>
  <c r="O57" i="84"/>
  <c r="O56" i="84"/>
  <c r="O55" i="84"/>
  <c r="O54" i="84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8" i="84"/>
  <c r="O27" i="84"/>
  <c r="O26" i="84"/>
  <c r="O25" i="84"/>
  <c r="O24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M13" i="79"/>
  <c r="M14" i="79"/>
  <c r="M15" i="79"/>
  <c r="M16" i="79"/>
  <c r="M17" i="79"/>
  <c r="M18" i="79"/>
  <c r="M19" i="79"/>
  <c r="M20" i="79"/>
  <c r="M21" i="79"/>
  <c r="M22" i="79"/>
  <c r="M23" i="79"/>
  <c r="M24" i="79"/>
  <c r="M25" i="79"/>
  <c r="M26" i="79"/>
  <c r="M27" i="79"/>
  <c r="M28" i="79"/>
  <c r="M29" i="79"/>
  <c r="M30" i="79"/>
  <c r="M31" i="79"/>
  <c r="M32" i="79"/>
  <c r="M33" i="79"/>
  <c r="M34" i="79"/>
  <c r="M35" i="79"/>
  <c r="M36" i="79"/>
  <c r="M37" i="79"/>
  <c r="M38" i="79"/>
  <c r="M39" i="79"/>
  <c r="M40" i="79"/>
  <c r="M41" i="79"/>
  <c r="M42" i="79"/>
  <c r="M43" i="79"/>
  <c r="M44" i="79"/>
  <c r="M45" i="79"/>
  <c r="M46" i="79"/>
  <c r="M47" i="79"/>
  <c r="M48" i="79"/>
  <c r="M49" i="79"/>
  <c r="M50" i="79"/>
  <c r="M51" i="79"/>
  <c r="M52" i="79"/>
  <c r="M53" i="79"/>
  <c r="M54" i="79"/>
  <c r="M55" i="79"/>
  <c r="M56" i="79"/>
  <c r="M57" i="79"/>
  <c r="M58" i="79"/>
  <c r="M59" i="79"/>
  <c r="M60" i="79"/>
  <c r="M61" i="79"/>
  <c r="M62" i="79"/>
  <c r="M63" i="79"/>
  <c r="M64" i="79"/>
  <c r="M65" i="79"/>
  <c r="M66" i="79"/>
  <c r="M67" i="79"/>
  <c r="M68" i="79"/>
  <c r="M69" i="79"/>
  <c r="M70" i="79"/>
  <c r="M71" i="79"/>
  <c r="M72" i="79"/>
  <c r="M73" i="79"/>
  <c r="M74" i="79"/>
  <c r="M75" i="79"/>
  <c r="M76" i="79"/>
  <c r="M77" i="79"/>
  <c r="M78" i="79"/>
  <c r="M79" i="79"/>
  <c r="M80" i="79"/>
  <c r="M81" i="79"/>
  <c r="M82" i="79"/>
  <c r="M83" i="79"/>
  <c r="M84" i="79"/>
  <c r="M85" i="79"/>
  <c r="M86" i="79"/>
  <c r="M87" i="79"/>
  <c r="M88" i="79"/>
  <c r="M89" i="79"/>
  <c r="M90" i="79"/>
  <c r="M91" i="79"/>
  <c r="M92" i="79"/>
  <c r="M93" i="79"/>
  <c r="M94" i="79"/>
  <c r="M95" i="79"/>
  <c r="M96" i="79"/>
  <c r="M97" i="79"/>
  <c r="M98" i="79"/>
  <c r="M99" i="79"/>
  <c r="M100" i="79"/>
  <c r="M101" i="79"/>
  <c r="M102" i="79"/>
  <c r="M103" i="79"/>
  <c r="M104" i="79"/>
  <c r="M105" i="79"/>
  <c r="M106" i="79"/>
  <c r="M107" i="79"/>
  <c r="M108" i="79"/>
  <c r="M109" i="79"/>
  <c r="M110" i="79"/>
  <c r="M111" i="79"/>
  <c r="M112" i="79"/>
  <c r="M113" i="79"/>
  <c r="M114" i="79"/>
  <c r="M115" i="79"/>
  <c r="M116" i="79"/>
  <c r="M117" i="79"/>
  <c r="M118" i="79"/>
  <c r="M119" i="79"/>
  <c r="M120" i="79"/>
  <c r="M121" i="79"/>
  <c r="M122" i="79"/>
  <c r="M123" i="79"/>
  <c r="M124" i="79"/>
  <c r="M125" i="79"/>
  <c r="M126" i="79"/>
  <c r="M127" i="79"/>
  <c r="M128" i="79"/>
  <c r="M12" i="79"/>
  <c r="AE3" i="87"/>
  <c r="B4" i="87"/>
  <c r="D3" i="87"/>
  <c r="AD29" i="87"/>
  <c r="AD13" i="87"/>
  <c r="AD12" i="87"/>
  <c r="AE29" i="87"/>
  <c r="D29" i="87"/>
  <c r="AD28" i="87"/>
  <c r="AE28" i="87"/>
  <c r="D27" i="87"/>
  <c r="AD27" i="87"/>
  <c r="AE27" i="87"/>
  <c r="D25" i="87"/>
  <c r="AD26" i="87"/>
  <c r="AE26" i="87"/>
  <c r="D23" i="87"/>
  <c r="AD24" i="87"/>
  <c r="AE24" i="87"/>
  <c r="D28" i="87"/>
  <c r="AD25" i="87"/>
  <c r="AE25" i="87"/>
  <c r="D15" i="87"/>
  <c r="AD20" i="87"/>
  <c r="AE20" i="87"/>
  <c r="D17" i="87"/>
  <c r="AD22" i="87"/>
  <c r="AE22" i="87"/>
  <c r="D26" i="87"/>
  <c r="AD19" i="87"/>
  <c r="AE19" i="87"/>
  <c r="D14" i="87"/>
  <c r="AD18" i="87"/>
  <c r="AE18" i="87"/>
  <c r="D21" i="87"/>
  <c r="AD21" i="87"/>
  <c r="AE21" i="87"/>
  <c r="D22" i="87"/>
  <c r="AD17" i="87"/>
  <c r="AE17" i="87"/>
  <c r="D13" i="87"/>
  <c r="AD16" i="87"/>
  <c r="AE16" i="87"/>
  <c r="D18" i="87"/>
  <c r="AD23" i="87"/>
  <c r="AE23" i="87"/>
  <c r="D20" i="87"/>
  <c r="AE12" i="87"/>
  <c r="D16" i="87"/>
  <c r="AD14" i="87"/>
  <c r="AE14" i="87"/>
  <c r="D19" i="87"/>
  <c r="AD15" i="87"/>
  <c r="AE15" i="87"/>
  <c r="D24" i="87"/>
  <c r="AE13" i="87"/>
  <c r="D12" i="87"/>
  <c r="AE4" i="87"/>
  <c r="B2" i="87"/>
  <c r="B1" i="87"/>
  <c r="M75" i="85"/>
  <c r="M30" i="85"/>
  <c r="M106" i="85"/>
  <c r="M96" i="85"/>
  <c r="M70" i="85"/>
  <c r="M90" i="85"/>
  <c r="M120" i="85"/>
  <c r="M102" i="85"/>
  <c r="M62" i="85"/>
  <c r="M48" i="85"/>
  <c r="M98" i="85"/>
  <c r="M113" i="85"/>
  <c r="M72" i="85"/>
  <c r="M67" i="85"/>
  <c r="M71" i="85"/>
  <c r="M29" i="85"/>
  <c r="M59" i="85"/>
  <c r="M116" i="85"/>
  <c r="M95" i="85"/>
  <c r="M86" i="85"/>
  <c r="M44" i="85"/>
  <c r="M97" i="85"/>
  <c r="M22" i="85"/>
  <c r="M76" i="85"/>
  <c r="M111" i="85"/>
  <c r="M58" i="85"/>
  <c r="M15" i="85"/>
  <c r="M123" i="85"/>
  <c r="M117" i="85"/>
  <c r="M103" i="85"/>
  <c r="M49" i="85"/>
  <c r="M77" i="85"/>
  <c r="M63" i="85"/>
  <c r="M17" i="85"/>
  <c r="M115" i="85"/>
  <c r="M121" i="85"/>
  <c r="M91" i="85"/>
  <c r="M37" i="85"/>
  <c r="M85" i="85"/>
  <c r="M119" i="85"/>
  <c r="M82" i="85"/>
  <c r="M54" i="85"/>
  <c r="M100" i="85"/>
  <c r="M94" i="85"/>
  <c r="M64" i="85"/>
  <c r="M125" i="85"/>
  <c r="M108" i="85"/>
  <c r="M126" i="85"/>
  <c r="M112" i="85"/>
  <c r="M99" i="85"/>
  <c r="M23" i="85"/>
  <c r="M56" i="85"/>
  <c r="M53" i="85"/>
  <c r="M51" i="85"/>
  <c r="M34" i="85"/>
  <c r="M57" i="85"/>
  <c r="M80" i="85"/>
  <c r="M40" i="85"/>
  <c r="M35" i="85"/>
  <c r="M24" i="85"/>
  <c r="M124" i="85"/>
  <c r="M18" i="85"/>
  <c r="M47" i="85"/>
  <c r="M89" i="85"/>
  <c r="M81" i="85"/>
  <c r="M114" i="85"/>
  <c r="M101" i="85"/>
  <c r="M107" i="85"/>
  <c r="M13" i="85"/>
  <c r="M12" i="85"/>
  <c r="M45" i="85"/>
  <c r="M69" i="85"/>
  <c r="M42" i="85"/>
  <c r="M31" i="85"/>
  <c r="M66" i="85"/>
  <c r="M78" i="85"/>
  <c r="M46" i="85"/>
  <c r="M20" i="85"/>
  <c r="M61" i="85"/>
  <c r="M118" i="85"/>
  <c r="M68" i="85"/>
  <c r="M79" i="85"/>
  <c r="M84" i="85"/>
  <c r="M73" i="85"/>
  <c r="M83" i="85"/>
  <c r="M88" i="85"/>
  <c r="M105" i="85"/>
  <c r="M16" i="85"/>
  <c r="M60" i="85"/>
  <c r="M52" i="85"/>
  <c r="M92" i="85"/>
  <c r="M39" i="85"/>
  <c r="M21" i="85"/>
  <c r="M109" i="85"/>
  <c r="M74" i="85"/>
  <c r="M36" i="85"/>
  <c r="M104" i="85"/>
  <c r="M32" i="85"/>
  <c r="M28" i="85"/>
  <c r="M110" i="85"/>
  <c r="M27" i="85"/>
  <c r="M43" i="85"/>
  <c r="M25" i="85"/>
  <c r="M65" i="85"/>
  <c r="M87" i="85"/>
  <c r="M14" i="85"/>
  <c r="M19" i="85"/>
  <c r="M38" i="85"/>
  <c r="M50" i="85"/>
  <c r="M55" i="85"/>
  <c r="M93" i="85"/>
  <c r="M33" i="85"/>
  <c r="M122" i="85"/>
  <c r="M41" i="85"/>
  <c r="M26" i="85"/>
  <c r="V12" i="86"/>
  <c r="AB12" i="86"/>
  <c r="T12" i="86"/>
  <c r="T3" i="86"/>
  <c r="D3" i="86"/>
  <c r="X70" i="86"/>
  <c r="V70" i="86"/>
  <c r="T70" i="86"/>
  <c r="E70" i="86"/>
  <c r="D70" i="86"/>
  <c r="C70" i="86"/>
  <c r="X69" i="86"/>
  <c r="V69" i="86"/>
  <c r="T69" i="86"/>
  <c r="E69" i="86"/>
  <c r="D69" i="86"/>
  <c r="C69" i="86"/>
  <c r="X68" i="86"/>
  <c r="V68" i="86"/>
  <c r="T68" i="86"/>
  <c r="E68" i="86"/>
  <c r="D68" i="86"/>
  <c r="C68" i="86"/>
  <c r="X67" i="86"/>
  <c r="V67" i="86"/>
  <c r="T67" i="86"/>
  <c r="E67" i="86"/>
  <c r="D67" i="86"/>
  <c r="C67" i="86"/>
  <c r="X66" i="86"/>
  <c r="V66" i="86"/>
  <c r="T66" i="86"/>
  <c r="E66" i="86"/>
  <c r="D66" i="86"/>
  <c r="C66" i="86"/>
  <c r="X65" i="86"/>
  <c r="V65" i="86"/>
  <c r="T65" i="86"/>
  <c r="E65" i="86"/>
  <c r="D65" i="86"/>
  <c r="C65" i="86"/>
  <c r="X64" i="86"/>
  <c r="V64" i="86"/>
  <c r="T56" i="86"/>
  <c r="E56" i="86"/>
  <c r="D56" i="86"/>
  <c r="C56" i="86"/>
  <c r="X63" i="86"/>
  <c r="V63" i="86"/>
  <c r="T57" i="86"/>
  <c r="E57" i="86"/>
  <c r="D57" i="86"/>
  <c r="C57" i="86"/>
  <c r="X62" i="86"/>
  <c r="V62" i="86"/>
  <c r="T53" i="86"/>
  <c r="E53" i="86"/>
  <c r="D53" i="86"/>
  <c r="C53" i="86"/>
  <c r="X61" i="86"/>
  <c r="V61" i="86"/>
  <c r="T58" i="86"/>
  <c r="E58" i="86"/>
  <c r="D58" i="86"/>
  <c r="C58" i="86"/>
  <c r="X60" i="86"/>
  <c r="V60" i="86"/>
  <c r="T64" i="86"/>
  <c r="E64" i="86"/>
  <c r="D64" i="86"/>
  <c r="C64" i="86"/>
  <c r="X59" i="86"/>
  <c r="V59" i="86"/>
  <c r="T59" i="86"/>
  <c r="E59" i="86"/>
  <c r="D59" i="86"/>
  <c r="C59" i="86"/>
  <c r="X58" i="86"/>
  <c r="V58" i="86"/>
  <c r="T63" i="86"/>
  <c r="E63" i="86"/>
  <c r="D63" i="86"/>
  <c r="C63" i="86"/>
  <c r="X57" i="86"/>
  <c r="V57" i="86"/>
  <c r="T62" i="86"/>
  <c r="E62" i="86"/>
  <c r="D62" i="86"/>
  <c r="C62" i="86"/>
  <c r="X56" i="86"/>
  <c r="V56" i="86"/>
  <c r="T61" i="86"/>
  <c r="E61" i="86"/>
  <c r="D61" i="86"/>
  <c r="C61" i="86"/>
  <c r="X55" i="86"/>
  <c r="V55" i="86"/>
  <c r="T60" i="86"/>
  <c r="E60" i="86"/>
  <c r="D60" i="86"/>
  <c r="C60" i="86"/>
  <c r="X54" i="86"/>
  <c r="V54" i="86"/>
  <c r="T55" i="86"/>
  <c r="E55" i="86"/>
  <c r="D55" i="86"/>
  <c r="C55" i="86"/>
  <c r="X53" i="86"/>
  <c r="V53" i="86"/>
  <c r="T54" i="86"/>
  <c r="E54" i="86"/>
  <c r="D54" i="86"/>
  <c r="C54" i="86"/>
  <c r="X52" i="86"/>
  <c r="V52" i="86"/>
  <c r="T52" i="86"/>
  <c r="E52" i="86"/>
  <c r="D52" i="86"/>
  <c r="C52" i="86"/>
  <c r="X47" i="86"/>
  <c r="W47" i="86"/>
  <c r="V47" i="86"/>
  <c r="T47" i="86"/>
  <c r="E47" i="86"/>
  <c r="D47" i="86"/>
  <c r="C47" i="86"/>
  <c r="X46" i="86"/>
  <c r="W46" i="86"/>
  <c r="V46" i="86"/>
  <c r="T46" i="86"/>
  <c r="E46" i="86"/>
  <c r="D46" i="86"/>
  <c r="C46" i="86"/>
  <c r="X45" i="86"/>
  <c r="W45" i="86"/>
  <c r="V45" i="86"/>
  <c r="T45" i="86"/>
  <c r="E45" i="86"/>
  <c r="D45" i="86"/>
  <c r="C45" i="86"/>
  <c r="X44" i="86"/>
  <c r="W44" i="86"/>
  <c r="V44" i="86"/>
  <c r="T44" i="86"/>
  <c r="E44" i="86"/>
  <c r="D44" i="86"/>
  <c r="C44" i="86"/>
  <c r="X43" i="86"/>
  <c r="W43" i="86"/>
  <c r="V43" i="86"/>
  <c r="T43" i="86"/>
  <c r="E43" i="86"/>
  <c r="D43" i="86"/>
  <c r="C43" i="86"/>
  <c r="X42" i="86"/>
  <c r="W42" i="86"/>
  <c r="V42" i="86"/>
  <c r="T39" i="86"/>
  <c r="E39" i="86"/>
  <c r="D39" i="86"/>
  <c r="C39" i="86"/>
  <c r="X41" i="86"/>
  <c r="W41" i="86"/>
  <c r="V41" i="86"/>
  <c r="T38" i="86"/>
  <c r="E38" i="86"/>
  <c r="D38" i="86"/>
  <c r="C38" i="86"/>
  <c r="X40" i="86"/>
  <c r="W40" i="86"/>
  <c r="V40" i="86"/>
  <c r="T35" i="86"/>
  <c r="E35" i="86"/>
  <c r="D35" i="86"/>
  <c r="C35" i="86"/>
  <c r="X39" i="86"/>
  <c r="W39" i="86"/>
  <c r="V39" i="86"/>
  <c r="T32" i="86"/>
  <c r="E32" i="86"/>
  <c r="D32" i="86"/>
  <c r="C32" i="86"/>
  <c r="X38" i="86"/>
  <c r="W38" i="86"/>
  <c r="V38" i="86"/>
  <c r="T29" i="86"/>
  <c r="E29" i="86"/>
  <c r="D29" i="86"/>
  <c r="C29" i="86"/>
  <c r="X37" i="86"/>
  <c r="W37" i="86"/>
  <c r="V37" i="86"/>
  <c r="T28" i="86"/>
  <c r="E28" i="86"/>
  <c r="D28" i="86"/>
  <c r="C28" i="86"/>
  <c r="X36" i="86"/>
  <c r="W36" i="86"/>
  <c r="V36" i="86"/>
  <c r="T25" i="86"/>
  <c r="E25" i="86"/>
  <c r="D25" i="86"/>
  <c r="C25" i="86"/>
  <c r="X35" i="86"/>
  <c r="W35" i="86"/>
  <c r="V35" i="86"/>
  <c r="T20" i="86"/>
  <c r="E20" i="86"/>
  <c r="D20" i="86"/>
  <c r="C20" i="86"/>
  <c r="X34" i="86"/>
  <c r="W34" i="86"/>
  <c r="V34" i="86"/>
  <c r="T42" i="86"/>
  <c r="E42" i="86"/>
  <c r="D42" i="86"/>
  <c r="C42" i="86"/>
  <c r="X33" i="86"/>
  <c r="W33" i="86"/>
  <c r="V33" i="86"/>
  <c r="T41" i="86"/>
  <c r="E41" i="86"/>
  <c r="D41" i="86"/>
  <c r="C41" i="86"/>
  <c r="X32" i="86"/>
  <c r="W32" i="86"/>
  <c r="V32" i="86"/>
  <c r="T40" i="86"/>
  <c r="E40" i="86"/>
  <c r="D40" i="86"/>
  <c r="C40" i="86"/>
  <c r="X31" i="86"/>
  <c r="W31" i="86"/>
  <c r="V31" i="86"/>
  <c r="T37" i="86"/>
  <c r="E37" i="86"/>
  <c r="D37" i="86"/>
  <c r="C37" i="86"/>
  <c r="X30" i="86"/>
  <c r="W30" i="86"/>
  <c r="V30" i="86"/>
  <c r="T36" i="86"/>
  <c r="E36" i="86"/>
  <c r="D36" i="86"/>
  <c r="C36" i="86"/>
  <c r="X29" i="86"/>
  <c r="W29" i="86"/>
  <c r="V29" i="86"/>
  <c r="T34" i="86"/>
  <c r="E34" i="86"/>
  <c r="D34" i="86"/>
  <c r="C34" i="86"/>
  <c r="X28" i="86"/>
  <c r="W28" i="86"/>
  <c r="V28" i="86"/>
  <c r="T33" i="86"/>
  <c r="E33" i="86"/>
  <c r="D33" i="86"/>
  <c r="C33" i="86"/>
  <c r="X27" i="86"/>
  <c r="W27" i="86"/>
  <c r="V27" i="86"/>
  <c r="T23" i="86"/>
  <c r="E23" i="86"/>
  <c r="D23" i="86"/>
  <c r="C23" i="86"/>
  <c r="AB26" i="86"/>
  <c r="X26" i="86"/>
  <c r="W26" i="86"/>
  <c r="V26" i="86"/>
  <c r="T31" i="86"/>
  <c r="E31" i="86"/>
  <c r="D31" i="86"/>
  <c r="C31" i="86"/>
  <c r="AB25" i="86"/>
  <c r="X25" i="86"/>
  <c r="W25" i="86"/>
  <c r="V25" i="86"/>
  <c r="T30" i="86"/>
  <c r="E30" i="86"/>
  <c r="D30" i="86"/>
  <c r="C30" i="86"/>
  <c r="AB24" i="86"/>
  <c r="X24" i="86"/>
  <c r="W24" i="86"/>
  <c r="V24" i="86"/>
  <c r="T14" i="86"/>
  <c r="E14" i="86"/>
  <c r="D14" i="86"/>
  <c r="C14" i="86"/>
  <c r="AB23" i="86"/>
  <c r="X23" i="86"/>
  <c r="W23" i="86"/>
  <c r="V23" i="86"/>
  <c r="T17" i="86"/>
  <c r="E17" i="86"/>
  <c r="D17" i="86"/>
  <c r="C17" i="86"/>
  <c r="AB22" i="86"/>
  <c r="X22" i="86"/>
  <c r="W22" i="86"/>
  <c r="V22" i="86"/>
  <c r="T27" i="86"/>
  <c r="E27" i="86"/>
  <c r="D27" i="86"/>
  <c r="C27" i="86"/>
  <c r="AB21" i="86"/>
  <c r="X21" i="86"/>
  <c r="W21" i="86"/>
  <c r="V21" i="86"/>
  <c r="T26" i="86"/>
  <c r="E26" i="86"/>
  <c r="D26" i="86"/>
  <c r="C26" i="86"/>
  <c r="AB20" i="86"/>
  <c r="X20" i="86"/>
  <c r="W20" i="86"/>
  <c r="V20" i="86"/>
  <c r="T15" i="86"/>
  <c r="E15" i="86"/>
  <c r="D15" i="86"/>
  <c r="C15" i="86"/>
  <c r="AB19" i="86"/>
  <c r="X19" i="86"/>
  <c r="W19" i="86"/>
  <c r="V19" i="86"/>
  <c r="T13" i="86"/>
  <c r="E13" i="86"/>
  <c r="D13" i="86"/>
  <c r="C13" i="86"/>
  <c r="AB18" i="86"/>
  <c r="X18" i="86"/>
  <c r="W18" i="86"/>
  <c r="V18" i="86"/>
  <c r="T24" i="86"/>
  <c r="E24" i="86"/>
  <c r="D24" i="86"/>
  <c r="C24" i="86"/>
  <c r="AB17" i="86"/>
  <c r="X17" i="86"/>
  <c r="W17" i="86"/>
  <c r="V17" i="86"/>
  <c r="T22" i="86"/>
  <c r="E22" i="86"/>
  <c r="D22" i="86"/>
  <c r="C22" i="86"/>
  <c r="AB16" i="86"/>
  <c r="X16" i="86"/>
  <c r="W16" i="86"/>
  <c r="V16" i="86"/>
  <c r="T21" i="86"/>
  <c r="E21" i="86"/>
  <c r="D21" i="86"/>
  <c r="C21" i="86"/>
  <c r="AB15" i="86"/>
  <c r="X15" i="86"/>
  <c r="W15" i="86"/>
  <c r="V15" i="86"/>
  <c r="T19" i="86"/>
  <c r="E19" i="86"/>
  <c r="D19" i="86"/>
  <c r="C19" i="86"/>
  <c r="AB14" i="86"/>
  <c r="X14" i="86"/>
  <c r="W14" i="86"/>
  <c r="V14" i="86"/>
  <c r="T18" i="86"/>
  <c r="E18" i="86"/>
  <c r="D18" i="86"/>
  <c r="C18" i="86"/>
  <c r="AB13" i="86"/>
  <c r="X13" i="86"/>
  <c r="W13" i="86"/>
  <c r="V13" i="86"/>
  <c r="T16" i="86"/>
  <c r="E16" i="86"/>
  <c r="D16" i="86"/>
  <c r="C16" i="86"/>
  <c r="X12" i="86"/>
  <c r="W12" i="86"/>
  <c r="E12" i="86"/>
  <c r="D12" i="86"/>
  <c r="C12" i="86"/>
  <c r="T4" i="86"/>
  <c r="A4" i="86"/>
  <c r="A2" i="86"/>
  <c r="A1" i="86"/>
  <c r="K3" i="85"/>
  <c r="D3" i="85"/>
  <c r="D172" i="85"/>
  <c r="D171" i="85"/>
  <c r="D170" i="85"/>
  <c r="D169" i="85"/>
  <c r="D168" i="85"/>
  <c r="D167" i="85"/>
  <c r="D166" i="85"/>
  <c r="D165" i="85"/>
  <c r="D164" i="85"/>
  <c r="D163" i="85"/>
  <c r="D162" i="85"/>
  <c r="D161" i="85"/>
  <c r="D160" i="85"/>
  <c r="D159" i="85"/>
  <c r="D158" i="85"/>
  <c r="D157" i="85"/>
  <c r="D156" i="85"/>
  <c r="D155" i="85"/>
  <c r="E151" i="85"/>
  <c r="E149" i="85"/>
  <c r="E148" i="85"/>
  <c r="E147" i="85"/>
  <c r="E146" i="85"/>
  <c r="B142" i="85"/>
  <c r="H140" i="85"/>
  <c r="G140" i="85"/>
  <c r="F140" i="85"/>
  <c r="E140" i="85"/>
  <c r="D140" i="85"/>
  <c r="C140" i="85"/>
  <c r="H139" i="85"/>
  <c r="G139" i="85"/>
  <c r="F139" i="85"/>
  <c r="E139" i="85"/>
  <c r="D139" i="85"/>
  <c r="C139" i="85"/>
  <c r="H138" i="85"/>
  <c r="G138" i="85"/>
  <c r="F138" i="85"/>
  <c r="E138" i="85"/>
  <c r="D138" i="85"/>
  <c r="C138" i="85"/>
  <c r="H137" i="85"/>
  <c r="G137" i="85"/>
  <c r="F137" i="85"/>
  <c r="E137" i="85"/>
  <c r="D137" i="85"/>
  <c r="C137" i="85"/>
  <c r="H136" i="85"/>
  <c r="G136" i="85"/>
  <c r="F136" i="85"/>
  <c r="E136" i="85"/>
  <c r="D136" i="85"/>
  <c r="C136" i="85"/>
  <c r="H135" i="85"/>
  <c r="G135" i="85"/>
  <c r="F135" i="85"/>
  <c r="E135" i="85"/>
  <c r="D135" i="85"/>
  <c r="C135" i="85"/>
  <c r="H134" i="85"/>
  <c r="G134" i="85"/>
  <c r="F134" i="85"/>
  <c r="E134" i="85"/>
  <c r="D134" i="85"/>
  <c r="C134" i="85"/>
  <c r="H133" i="85"/>
  <c r="G133" i="85"/>
  <c r="F133" i="85"/>
  <c r="E133" i="85"/>
  <c r="D133" i="85"/>
  <c r="C133" i="85"/>
  <c r="H132" i="85"/>
  <c r="G132" i="85"/>
  <c r="F132" i="85"/>
  <c r="E132" i="85"/>
  <c r="D132" i="85"/>
  <c r="C132" i="85"/>
  <c r="H131" i="85"/>
  <c r="G131" i="85"/>
  <c r="F131" i="85"/>
  <c r="E131" i="85"/>
  <c r="D131" i="85"/>
  <c r="C131" i="85"/>
  <c r="H130" i="85"/>
  <c r="G130" i="85"/>
  <c r="F130" i="85"/>
  <c r="E130" i="85"/>
  <c r="D130" i="85"/>
  <c r="C130" i="85"/>
  <c r="H129" i="85"/>
  <c r="G129" i="85"/>
  <c r="F129" i="85"/>
  <c r="E129" i="85"/>
  <c r="D129" i="85"/>
  <c r="C129" i="85"/>
  <c r="H127" i="85"/>
  <c r="G127" i="85"/>
  <c r="F127" i="85"/>
  <c r="E127" i="85"/>
  <c r="D127" i="85"/>
  <c r="C127" i="85"/>
  <c r="I126" i="85"/>
  <c r="J126" i="85"/>
  <c r="H126" i="85"/>
  <c r="G126" i="85"/>
  <c r="F126" i="85"/>
  <c r="E126" i="85"/>
  <c r="D126" i="85"/>
  <c r="C126" i="85"/>
  <c r="I125" i="85"/>
  <c r="J125" i="85"/>
  <c r="H125" i="85"/>
  <c r="G125" i="85"/>
  <c r="F125" i="85"/>
  <c r="E125" i="85"/>
  <c r="D125" i="85"/>
  <c r="C125" i="85"/>
  <c r="I124" i="85"/>
  <c r="J124" i="85"/>
  <c r="H124" i="85"/>
  <c r="G124" i="85"/>
  <c r="F124" i="85"/>
  <c r="E124" i="85"/>
  <c r="D124" i="85"/>
  <c r="C124" i="85"/>
  <c r="I123" i="85"/>
  <c r="J123" i="85"/>
  <c r="H123" i="85"/>
  <c r="G123" i="85"/>
  <c r="F123" i="85"/>
  <c r="E123" i="85"/>
  <c r="D123" i="85"/>
  <c r="C123" i="85"/>
  <c r="I121" i="85"/>
  <c r="J121" i="85"/>
  <c r="H121" i="85"/>
  <c r="G121" i="85"/>
  <c r="F121" i="85"/>
  <c r="E121" i="85"/>
  <c r="D121" i="85"/>
  <c r="C121" i="85"/>
  <c r="I122" i="85"/>
  <c r="J122" i="85"/>
  <c r="H122" i="85"/>
  <c r="G122" i="85"/>
  <c r="F122" i="85"/>
  <c r="E122" i="85"/>
  <c r="D122" i="85"/>
  <c r="C122" i="85"/>
  <c r="I118" i="85"/>
  <c r="J118" i="85"/>
  <c r="H118" i="85"/>
  <c r="G118" i="85"/>
  <c r="F118" i="85"/>
  <c r="E118" i="85"/>
  <c r="D118" i="85"/>
  <c r="C118" i="85"/>
  <c r="I117" i="85"/>
  <c r="J117" i="85"/>
  <c r="H117" i="85"/>
  <c r="G117" i="85"/>
  <c r="F117" i="85"/>
  <c r="E117" i="85"/>
  <c r="D117" i="85"/>
  <c r="C117" i="85"/>
  <c r="I98" i="85"/>
  <c r="J98" i="85"/>
  <c r="H98" i="85"/>
  <c r="G98" i="85"/>
  <c r="F98" i="85"/>
  <c r="E98" i="85"/>
  <c r="D98" i="85"/>
  <c r="C98" i="85"/>
  <c r="I73" i="85"/>
  <c r="J73" i="85"/>
  <c r="H73" i="85"/>
  <c r="G73" i="85"/>
  <c r="F73" i="85"/>
  <c r="E73" i="85"/>
  <c r="D73" i="85"/>
  <c r="C73" i="85"/>
  <c r="I81" i="85"/>
  <c r="J81" i="85"/>
  <c r="H81" i="85"/>
  <c r="G81" i="85"/>
  <c r="F81" i="85"/>
  <c r="E81" i="85"/>
  <c r="D81" i="85"/>
  <c r="C81" i="85"/>
  <c r="I109" i="85"/>
  <c r="J109" i="85"/>
  <c r="H109" i="85"/>
  <c r="G109" i="85"/>
  <c r="F109" i="85"/>
  <c r="E109" i="85"/>
  <c r="D109" i="85"/>
  <c r="C109" i="85"/>
  <c r="I120" i="85"/>
  <c r="J120" i="85"/>
  <c r="H120" i="85"/>
  <c r="G120" i="85"/>
  <c r="F120" i="85"/>
  <c r="E120" i="85"/>
  <c r="D120" i="85"/>
  <c r="C120" i="85"/>
  <c r="H141" i="85"/>
  <c r="G141" i="85"/>
  <c r="F141" i="85"/>
  <c r="E141" i="85"/>
  <c r="D141" i="85"/>
  <c r="C141" i="85"/>
  <c r="I84" i="85"/>
  <c r="J84" i="85"/>
  <c r="H84" i="85"/>
  <c r="G84" i="85"/>
  <c r="F84" i="85"/>
  <c r="E84" i="85"/>
  <c r="D84" i="85"/>
  <c r="C84" i="85"/>
  <c r="I108" i="85"/>
  <c r="J108" i="85"/>
  <c r="H108" i="85"/>
  <c r="G108" i="85"/>
  <c r="F108" i="85"/>
  <c r="E108" i="85"/>
  <c r="D108" i="85"/>
  <c r="C108" i="85"/>
  <c r="I93" i="85"/>
  <c r="J93" i="85"/>
  <c r="H93" i="85"/>
  <c r="G93" i="85"/>
  <c r="F93" i="85"/>
  <c r="E93" i="85"/>
  <c r="D93" i="85"/>
  <c r="C93" i="85"/>
  <c r="I116" i="85"/>
  <c r="J116" i="85"/>
  <c r="H116" i="85"/>
  <c r="G116" i="85"/>
  <c r="F116" i="85"/>
  <c r="E116" i="85"/>
  <c r="D116" i="85"/>
  <c r="C116" i="85"/>
  <c r="I78" i="85"/>
  <c r="J78" i="85"/>
  <c r="H78" i="85"/>
  <c r="G78" i="85"/>
  <c r="F78" i="85"/>
  <c r="E78" i="85"/>
  <c r="D78" i="85"/>
  <c r="C78" i="85"/>
  <c r="I105" i="85"/>
  <c r="J105" i="85"/>
  <c r="H105" i="85"/>
  <c r="G105" i="85"/>
  <c r="F105" i="85"/>
  <c r="E105" i="85"/>
  <c r="D105" i="85"/>
  <c r="C105" i="85"/>
  <c r="I113" i="85"/>
  <c r="J113" i="85"/>
  <c r="H113" i="85"/>
  <c r="G113" i="85"/>
  <c r="F113" i="85"/>
  <c r="E113" i="85"/>
  <c r="D113" i="85"/>
  <c r="C113" i="85"/>
  <c r="I115" i="85"/>
  <c r="J115" i="85"/>
  <c r="H115" i="85"/>
  <c r="G115" i="85"/>
  <c r="F115" i="85"/>
  <c r="E115" i="85"/>
  <c r="D115" i="85"/>
  <c r="C115" i="85"/>
  <c r="I112" i="85"/>
  <c r="J112" i="85"/>
  <c r="H112" i="85"/>
  <c r="G112" i="85"/>
  <c r="F112" i="85"/>
  <c r="E112" i="85"/>
  <c r="D112" i="85"/>
  <c r="C112" i="85"/>
  <c r="I114" i="85"/>
  <c r="J114" i="85"/>
  <c r="H114" i="85"/>
  <c r="G114" i="85"/>
  <c r="F114" i="85"/>
  <c r="E114" i="85"/>
  <c r="D114" i="85"/>
  <c r="C114" i="85"/>
  <c r="I94" i="85"/>
  <c r="J94" i="85"/>
  <c r="H94" i="85"/>
  <c r="G94" i="85"/>
  <c r="F94" i="85"/>
  <c r="E94" i="85"/>
  <c r="D94" i="85"/>
  <c r="C94" i="85"/>
  <c r="I92" i="85"/>
  <c r="J92" i="85"/>
  <c r="H92" i="85"/>
  <c r="G92" i="85"/>
  <c r="F92" i="85"/>
  <c r="E92" i="85"/>
  <c r="D92" i="85"/>
  <c r="C92" i="85"/>
  <c r="I69" i="85"/>
  <c r="J69" i="85"/>
  <c r="H69" i="85"/>
  <c r="G69" i="85"/>
  <c r="F69" i="85"/>
  <c r="E69" i="85"/>
  <c r="D69" i="85"/>
  <c r="C69" i="85"/>
  <c r="I101" i="85"/>
  <c r="J101" i="85"/>
  <c r="H101" i="85"/>
  <c r="G101" i="85"/>
  <c r="F101" i="85"/>
  <c r="E101" i="85"/>
  <c r="D101" i="85"/>
  <c r="C101" i="85"/>
  <c r="I76" i="85"/>
  <c r="J76" i="85"/>
  <c r="H76" i="85"/>
  <c r="G76" i="85"/>
  <c r="F76" i="85"/>
  <c r="E76" i="85"/>
  <c r="D76" i="85"/>
  <c r="C76" i="85"/>
  <c r="I74" i="85"/>
  <c r="J74" i="85"/>
  <c r="H74" i="85"/>
  <c r="G74" i="85"/>
  <c r="F74" i="85"/>
  <c r="E74" i="85"/>
  <c r="D74" i="85"/>
  <c r="C74" i="85"/>
  <c r="I102" i="85"/>
  <c r="J102" i="85"/>
  <c r="H102" i="85"/>
  <c r="G102" i="85"/>
  <c r="F102" i="85"/>
  <c r="E102" i="85"/>
  <c r="D102" i="85"/>
  <c r="C102" i="85"/>
  <c r="I87" i="85"/>
  <c r="J87" i="85"/>
  <c r="H87" i="85"/>
  <c r="G87" i="85"/>
  <c r="F87" i="85"/>
  <c r="E87" i="85"/>
  <c r="D87" i="85"/>
  <c r="C87" i="85"/>
  <c r="I56" i="85"/>
  <c r="J56" i="85"/>
  <c r="H56" i="85"/>
  <c r="G56" i="85"/>
  <c r="F56" i="85"/>
  <c r="E56" i="85"/>
  <c r="D56" i="85"/>
  <c r="C56" i="85"/>
  <c r="I72" i="85"/>
  <c r="J72" i="85"/>
  <c r="H72" i="85"/>
  <c r="G72" i="85"/>
  <c r="F72" i="85"/>
  <c r="E72" i="85"/>
  <c r="D72" i="85"/>
  <c r="C72" i="85"/>
  <c r="I71" i="85"/>
  <c r="J71" i="85"/>
  <c r="H71" i="85"/>
  <c r="G71" i="85"/>
  <c r="F71" i="85"/>
  <c r="E71" i="85"/>
  <c r="D71" i="85"/>
  <c r="C71" i="85"/>
  <c r="I86" i="85"/>
  <c r="J86" i="85"/>
  <c r="H86" i="85"/>
  <c r="G86" i="85"/>
  <c r="F86" i="85"/>
  <c r="E86" i="85"/>
  <c r="D86" i="85"/>
  <c r="C86" i="85"/>
  <c r="H128" i="85"/>
  <c r="G128" i="85"/>
  <c r="F128" i="85"/>
  <c r="E128" i="85"/>
  <c r="D128" i="85"/>
  <c r="C128" i="85"/>
  <c r="I25" i="85"/>
  <c r="J25" i="85"/>
  <c r="H25" i="85"/>
  <c r="G25" i="85"/>
  <c r="F25" i="85"/>
  <c r="E25" i="85"/>
  <c r="D25" i="85"/>
  <c r="C25" i="85"/>
  <c r="I53" i="85"/>
  <c r="J53" i="85"/>
  <c r="H53" i="85"/>
  <c r="G53" i="85"/>
  <c r="F53" i="85"/>
  <c r="E53" i="85"/>
  <c r="D53" i="85"/>
  <c r="C53" i="85"/>
  <c r="I68" i="85"/>
  <c r="J68" i="85"/>
  <c r="H68" i="85"/>
  <c r="G68" i="85"/>
  <c r="F68" i="85"/>
  <c r="E68" i="85"/>
  <c r="D68" i="85"/>
  <c r="C68" i="85"/>
  <c r="I111" i="85"/>
  <c r="J111" i="85"/>
  <c r="H111" i="85"/>
  <c r="G111" i="85"/>
  <c r="F111" i="85"/>
  <c r="E111" i="85"/>
  <c r="D111" i="85"/>
  <c r="C111" i="85"/>
  <c r="I67" i="85"/>
  <c r="J67" i="85"/>
  <c r="H67" i="85"/>
  <c r="G67" i="85"/>
  <c r="F67" i="85"/>
  <c r="E67" i="85"/>
  <c r="D67" i="85"/>
  <c r="C67" i="85"/>
  <c r="I66" i="85"/>
  <c r="J66" i="85"/>
  <c r="H66" i="85"/>
  <c r="G66" i="85"/>
  <c r="F66" i="85"/>
  <c r="E66" i="85"/>
  <c r="D66" i="85"/>
  <c r="C66" i="85"/>
  <c r="I65" i="85"/>
  <c r="J65" i="85"/>
  <c r="H65" i="85"/>
  <c r="G65" i="85"/>
  <c r="F65" i="85"/>
  <c r="E65" i="85"/>
  <c r="D65" i="85"/>
  <c r="C65" i="85"/>
  <c r="I64" i="85"/>
  <c r="J64" i="85"/>
  <c r="H64" i="85"/>
  <c r="G64" i="85"/>
  <c r="F64" i="85"/>
  <c r="E64" i="85"/>
  <c r="D64" i="85"/>
  <c r="C64" i="85"/>
  <c r="I97" i="85"/>
  <c r="J97" i="85"/>
  <c r="H97" i="85"/>
  <c r="G97" i="85"/>
  <c r="F97" i="85"/>
  <c r="E97" i="85"/>
  <c r="D97" i="85"/>
  <c r="C97" i="85"/>
  <c r="I63" i="85"/>
  <c r="J63" i="85"/>
  <c r="H63" i="85"/>
  <c r="G63" i="85"/>
  <c r="F63" i="85"/>
  <c r="E63" i="85"/>
  <c r="D63" i="85"/>
  <c r="C63" i="85"/>
  <c r="I99" i="85"/>
  <c r="J99" i="85"/>
  <c r="H99" i="85"/>
  <c r="G99" i="85"/>
  <c r="F99" i="85"/>
  <c r="E99" i="85"/>
  <c r="D99" i="85"/>
  <c r="C99" i="85"/>
  <c r="I96" i="85"/>
  <c r="J96" i="85"/>
  <c r="H96" i="85"/>
  <c r="G96" i="85"/>
  <c r="F96" i="85"/>
  <c r="E96" i="85"/>
  <c r="D96" i="85"/>
  <c r="C96" i="85"/>
  <c r="I24" i="85"/>
  <c r="J24" i="85"/>
  <c r="H24" i="85"/>
  <c r="G24" i="85"/>
  <c r="F24" i="85"/>
  <c r="E24" i="85"/>
  <c r="D24" i="85"/>
  <c r="C24" i="85"/>
  <c r="I52" i="85"/>
  <c r="J52" i="85"/>
  <c r="H52" i="85"/>
  <c r="G52" i="85"/>
  <c r="F52" i="85"/>
  <c r="E52" i="85"/>
  <c r="D52" i="85"/>
  <c r="C52" i="85"/>
  <c r="I51" i="85"/>
  <c r="J51" i="85"/>
  <c r="H51" i="85"/>
  <c r="G51" i="85"/>
  <c r="F51" i="85"/>
  <c r="E51" i="85"/>
  <c r="D51" i="85"/>
  <c r="C51" i="85"/>
  <c r="I90" i="85"/>
  <c r="J90" i="85"/>
  <c r="H90" i="85"/>
  <c r="G90" i="85"/>
  <c r="F90" i="85"/>
  <c r="E90" i="85"/>
  <c r="D90" i="85"/>
  <c r="C90" i="85"/>
  <c r="I49" i="85"/>
  <c r="J49" i="85"/>
  <c r="H49" i="85"/>
  <c r="G49" i="85"/>
  <c r="F49" i="85"/>
  <c r="E49" i="85"/>
  <c r="D49" i="85"/>
  <c r="C49" i="85"/>
  <c r="I48" i="85"/>
  <c r="J48" i="85"/>
  <c r="H48" i="85"/>
  <c r="G48" i="85"/>
  <c r="F48" i="85"/>
  <c r="E48" i="85"/>
  <c r="D48" i="85"/>
  <c r="C48" i="85"/>
  <c r="I100" i="85"/>
  <c r="J100" i="85"/>
  <c r="H100" i="85"/>
  <c r="G100" i="85"/>
  <c r="F100" i="85"/>
  <c r="E100" i="85"/>
  <c r="D100" i="85"/>
  <c r="C100" i="85"/>
  <c r="I62" i="85"/>
  <c r="J62" i="85"/>
  <c r="H62" i="85"/>
  <c r="G62" i="85"/>
  <c r="F62" i="85"/>
  <c r="E62" i="85"/>
  <c r="D62" i="85"/>
  <c r="C62" i="85"/>
  <c r="I103" i="85"/>
  <c r="J103" i="85"/>
  <c r="H103" i="85"/>
  <c r="G103" i="85"/>
  <c r="F103" i="85"/>
  <c r="E103" i="85"/>
  <c r="D103" i="85"/>
  <c r="C103" i="85"/>
  <c r="I82" i="85"/>
  <c r="J82" i="85"/>
  <c r="H82" i="85"/>
  <c r="G82" i="85"/>
  <c r="F82" i="85"/>
  <c r="E82" i="85"/>
  <c r="D82" i="85"/>
  <c r="C82" i="85"/>
  <c r="I60" i="85"/>
  <c r="J60" i="85"/>
  <c r="H60" i="85"/>
  <c r="G60" i="85"/>
  <c r="F60" i="85"/>
  <c r="E60" i="85"/>
  <c r="D60" i="85"/>
  <c r="C60" i="85"/>
  <c r="I89" i="85"/>
  <c r="J89" i="85"/>
  <c r="H89" i="85"/>
  <c r="G89" i="85"/>
  <c r="F89" i="85"/>
  <c r="E89" i="85"/>
  <c r="D89" i="85"/>
  <c r="C89" i="85"/>
  <c r="I77" i="85"/>
  <c r="J77" i="85"/>
  <c r="H77" i="85"/>
  <c r="G77" i="85"/>
  <c r="F77" i="85"/>
  <c r="E77" i="85"/>
  <c r="D77" i="85"/>
  <c r="C77" i="85"/>
  <c r="I23" i="85"/>
  <c r="J23" i="85"/>
  <c r="H23" i="85"/>
  <c r="G23" i="85"/>
  <c r="F23" i="85"/>
  <c r="E23" i="85"/>
  <c r="D23" i="85"/>
  <c r="C23" i="85"/>
  <c r="I47" i="85"/>
  <c r="J47" i="85"/>
  <c r="H47" i="85"/>
  <c r="G47" i="85"/>
  <c r="F47" i="85"/>
  <c r="E47" i="85"/>
  <c r="D47" i="85"/>
  <c r="C47" i="85"/>
  <c r="I119" i="85"/>
  <c r="J119" i="85"/>
  <c r="H119" i="85"/>
  <c r="G119" i="85"/>
  <c r="F119" i="85"/>
  <c r="E119" i="85"/>
  <c r="D119" i="85"/>
  <c r="C119" i="85"/>
  <c r="I46" i="85"/>
  <c r="J46" i="85"/>
  <c r="H46" i="85"/>
  <c r="G46" i="85"/>
  <c r="F46" i="85"/>
  <c r="E46" i="85"/>
  <c r="D46" i="85"/>
  <c r="C46" i="85"/>
  <c r="I110" i="85"/>
  <c r="J110" i="85"/>
  <c r="H110" i="85"/>
  <c r="G110" i="85"/>
  <c r="F110" i="85"/>
  <c r="E110" i="85"/>
  <c r="D110" i="85"/>
  <c r="C110" i="85"/>
  <c r="I22" i="85"/>
  <c r="J22" i="85"/>
  <c r="H22" i="85"/>
  <c r="G22" i="85"/>
  <c r="F22" i="85"/>
  <c r="E22" i="85"/>
  <c r="D22" i="85"/>
  <c r="C22" i="85"/>
  <c r="I59" i="85"/>
  <c r="J59" i="85"/>
  <c r="H59" i="85"/>
  <c r="G59" i="85"/>
  <c r="F59" i="85"/>
  <c r="E59" i="85"/>
  <c r="D59" i="85"/>
  <c r="C59" i="85"/>
  <c r="I88" i="85"/>
  <c r="J88" i="85"/>
  <c r="H88" i="85"/>
  <c r="G88" i="85"/>
  <c r="F88" i="85"/>
  <c r="E88" i="85"/>
  <c r="D88" i="85"/>
  <c r="C88" i="85"/>
  <c r="I95" i="85"/>
  <c r="J95" i="85"/>
  <c r="H95" i="85"/>
  <c r="G95" i="85"/>
  <c r="F95" i="85"/>
  <c r="E95" i="85"/>
  <c r="D95" i="85"/>
  <c r="C95" i="85"/>
  <c r="I44" i="85"/>
  <c r="J44" i="85"/>
  <c r="H44" i="85"/>
  <c r="G44" i="85"/>
  <c r="F44" i="85"/>
  <c r="E44" i="85"/>
  <c r="D44" i="85"/>
  <c r="C44" i="85"/>
  <c r="I58" i="85"/>
  <c r="J58" i="85"/>
  <c r="H58" i="85"/>
  <c r="G58" i="85"/>
  <c r="F58" i="85"/>
  <c r="E58" i="85"/>
  <c r="D58" i="85"/>
  <c r="C58" i="85"/>
  <c r="I21" i="85"/>
  <c r="J21" i="85"/>
  <c r="H21" i="85"/>
  <c r="G21" i="85"/>
  <c r="F21" i="85"/>
  <c r="E21" i="85"/>
  <c r="D21" i="85"/>
  <c r="C21" i="85"/>
  <c r="I80" i="85"/>
  <c r="J80" i="85"/>
  <c r="H80" i="85"/>
  <c r="G80" i="85"/>
  <c r="F80" i="85"/>
  <c r="E80" i="85"/>
  <c r="D80" i="85"/>
  <c r="C80" i="85"/>
  <c r="I43" i="85"/>
  <c r="J43" i="85"/>
  <c r="H43" i="85"/>
  <c r="G43" i="85"/>
  <c r="F43" i="85"/>
  <c r="E43" i="85"/>
  <c r="D43" i="85"/>
  <c r="C43" i="85"/>
  <c r="I42" i="85"/>
  <c r="J42" i="85"/>
  <c r="H42" i="85"/>
  <c r="G42" i="85"/>
  <c r="F42" i="85"/>
  <c r="E42" i="85"/>
  <c r="D42" i="85"/>
  <c r="C42" i="85"/>
  <c r="I41" i="85"/>
  <c r="J41" i="85"/>
  <c r="H41" i="85"/>
  <c r="G41" i="85"/>
  <c r="F41" i="85"/>
  <c r="E41" i="85"/>
  <c r="D41" i="85"/>
  <c r="C41" i="85"/>
  <c r="I55" i="85"/>
  <c r="J55" i="85"/>
  <c r="H55" i="85"/>
  <c r="G55" i="85"/>
  <c r="F55" i="85"/>
  <c r="E55" i="85"/>
  <c r="D55" i="85"/>
  <c r="C55" i="85"/>
  <c r="I40" i="85"/>
  <c r="J40" i="85"/>
  <c r="H40" i="85"/>
  <c r="G40" i="85"/>
  <c r="F40" i="85"/>
  <c r="E40" i="85"/>
  <c r="D40" i="85"/>
  <c r="C40" i="85"/>
  <c r="I39" i="85"/>
  <c r="J39" i="85"/>
  <c r="H39" i="85"/>
  <c r="G39" i="85"/>
  <c r="F39" i="85"/>
  <c r="E39" i="85"/>
  <c r="D39" i="85"/>
  <c r="C39" i="85"/>
  <c r="I38" i="85"/>
  <c r="J38" i="85"/>
  <c r="H38" i="85"/>
  <c r="G38" i="85"/>
  <c r="F38" i="85"/>
  <c r="E38" i="85"/>
  <c r="D38" i="85"/>
  <c r="C38" i="85"/>
  <c r="I61" i="85"/>
  <c r="J61" i="85"/>
  <c r="H61" i="85"/>
  <c r="G61" i="85"/>
  <c r="F61" i="85"/>
  <c r="E61" i="85"/>
  <c r="D61" i="85"/>
  <c r="C61" i="85"/>
  <c r="I91" i="85"/>
  <c r="J91" i="85"/>
  <c r="H91" i="85"/>
  <c r="G91" i="85"/>
  <c r="F91" i="85"/>
  <c r="E91" i="85"/>
  <c r="D91" i="85"/>
  <c r="C91" i="85"/>
  <c r="I37" i="85"/>
  <c r="J37" i="85"/>
  <c r="H37" i="85"/>
  <c r="G37" i="85"/>
  <c r="F37" i="85"/>
  <c r="E37" i="85"/>
  <c r="D37" i="85"/>
  <c r="C37" i="85"/>
  <c r="I36" i="85"/>
  <c r="J36" i="85"/>
  <c r="H36" i="85"/>
  <c r="G36" i="85"/>
  <c r="F36" i="85"/>
  <c r="E36" i="85"/>
  <c r="D36" i="85"/>
  <c r="C36" i="85"/>
  <c r="I35" i="85"/>
  <c r="J35" i="85"/>
  <c r="H35" i="85"/>
  <c r="G35" i="85"/>
  <c r="F35" i="85"/>
  <c r="E35" i="85"/>
  <c r="D35" i="85"/>
  <c r="C35" i="85"/>
  <c r="I79" i="85"/>
  <c r="J79" i="85"/>
  <c r="H79" i="85"/>
  <c r="G79" i="85"/>
  <c r="F79" i="85"/>
  <c r="E79" i="85"/>
  <c r="D79" i="85"/>
  <c r="C79" i="85"/>
  <c r="I104" i="85"/>
  <c r="J104" i="85"/>
  <c r="H104" i="85"/>
  <c r="G104" i="85"/>
  <c r="F104" i="85"/>
  <c r="E104" i="85"/>
  <c r="D104" i="85"/>
  <c r="C104" i="85"/>
  <c r="I107" i="85"/>
  <c r="J107" i="85"/>
  <c r="H107" i="85"/>
  <c r="G107" i="85"/>
  <c r="F107" i="85"/>
  <c r="E107" i="85"/>
  <c r="D107" i="85"/>
  <c r="C107" i="85"/>
  <c r="I57" i="85"/>
  <c r="J57" i="85"/>
  <c r="H57" i="85"/>
  <c r="G57" i="85"/>
  <c r="F57" i="85"/>
  <c r="E57" i="85"/>
  <c r="D57" i="85"/>
  <c r="C57" i="85"/>
  <c r="I20" i="85"/>
  <c r="J20" i="85"/>
  <c r="H20" i="85"/>
  <c r="G20" i="85"/>
  <c r="F20" i="85"/>
  <c r="E20" i="85"/>
  <c r="D20" i="85"/>
  <c r="C20" i="85"/>
  <c r="I34" i="85"/>
  <c r="J34" i="85"/>
  <c r="H34" i="85"/>
  <c r="G34" i="85"/>
  <c r="F34" i="85"/>
  <c r="E34" i="85"/>
  <c r="D34" i="85"/>
  <c r="C34" i="85"/>
  <c r="I19" i="85"/>
  <c r="J19" i="85"/>
  <c r="H19" i="85"/>
  <c r="G19" i="85"/>
  <c r="F19" i="85"/>
  <c r="E19" i="85"/>
  <c r="D19" i="85"/>
  <c r="C19" i="85"/>
  <c r="I18" i="85"/>
  <c r="J18" i="85"/>
  <c r="H18" i="85"/>
  <c r="G18" i="85"/>
  <c r="F18" i="85"/>
  <c r="E18" i="85"/>
  <c r="D18" i="85"/>
  <c r="C18" i="85"/>
  <c r="I106" i="85"/>
  <c r="J106" i="85"/>
  <c r="H106" i="85"/>
  <c r="G106" i="85"/>
  <c r="F106" i="85"/>
  <c r="E106" i="85"/>
  <c r="D106" i="85"/>
  <c r="C106" i="85"/>
  <c r="I33" i="85"/>
  <c r="J33" i="85"/>
  <c r="H33" i="85"/>
  <c r="G33" i="85"/>
  <c r="F33" i="85"/>
  <c r="E33" i="85"/>
  <c r="D33" i="85"/>
  <c r="C33" i="85"/>
  <c r="I32" i="85"/>
  <c r="J32" i="85"/>
  <c r="H32" i="85"/>
  <c r="G32" i="85"/>
  <c r="F32" i="85"/>
  <c r="E32" i="85"/>
  <c r="D32" i="85"/>
  <c r="C32" i="85"/>
  <c r="I31" i="85"/>
  <c r="J31" i="85"/>
  <c r="H31" i="85"/>
  <c r="G31" i="85"/>
  <c r="F31" i="85"/>
  <c r="E31" i="85"/>
  <c r="D31" i="85"/>
  <c r="C31" i="85"/>
  <c r="I75" i="85"/>
  <c r="J75" i="85"/>
  <c r="H75" i="85"/>
  <c r="G75" i="85"/>
  <c r="F75" i="85"/>
  <c r="E75" i="85"/>
  <c r="D75" i="85"/>
  <c r="C75" i="85"/>
  <c r="I17" i="85"/>
  <c r="J17" i="85"/>
  <c r="H17" i="85"/>
  <c r="G17" i="85"/>
  <c r="F17" i="85"/>
  <c r="E17" i="85"/>
  <c r="D17" i="85"/>
  <c r="C17" i="85"/>
  <c r="I85" i="85"/>
  <c r="J85" i="85"/>
  <c r="H85" i="85"/>
  <c r="G85" i="85"/>
  <c r="F85" i="85"/>
  <c r="E85" i="85"/>
  <c r="D85" i="85"/>
  <c r="C85" i="85"/>
  <c r="I30" i="85"/>
  <c r="J30" i="85"/>
  <c r="H30" i="85"/>
  <c r="G30" i="85"/>
  <c r="F30" i="85"/>
  <c r="E30" i="85"/>
  <c r="D30" i="85"/>
  <c r="C30" i="85"/>
  <c r="I29" i="85"/>
  <c r="J29" i="85"/>
  <c r="H29" i="85"/>
  <c r="G29" i="85"/>
  <c r="F29" i="85"/>
  <c r="E29" i="85"/>
  <c r="D29" i="85"/>
  <c r="C29" i="85"/>
  <c r="I28" i="85"/>
  <c r="J28" i="85"/>
  <c r="H28" i="85"/>
  <c r="G28" i="85"/>
  <c r="F28" i="85"/>
  <c r="E28" i="85"/>
  <c r="D28" i="85"/>
  <c r="C28" i="85"/>
  <c r="I27" i="85"/>
  <c r="J27" i="85"/>
  <c r="H27" i="85"/>
  <c r="G27" i="85"/>
  <c r="F27" i="85"/>
  <c r="E27" i="85"/>
  <c r="D27" i="85"/>
  <c r="C27" i="85"/>
  <c r="I70" i="85"/>
  <c r="J70" i="85"/>
  <c r="H70" i="85"/>
  <c r="G70" i="85"/>
  <c r="F70" i="85"/>
  <c r="E70" i="85"/>
  <c r="D70" i="85"/>
  <c r="C70" i="85"/>
  <c r="I16" i="85"/>
  <c r="J16" i="85"/>
  <c r="H16" i="85"/>
  <c r="G16" i="85"/>
  <c r="F16" i="85"/>
  <c r="E16" i="85"/>
  <c r="D16" i="85"/>
  <c r="C16" i="85"/>
  <c r="I14" i="85"/>
  <c r="J14" i="85"/>
  <c r="H14" i="85"/>
  <c r="G14" i="85"/>
  <c r="F14" i="85"/>
  <c r="E14" i="85"/>
  <c r="D14" i="85"/>
  <c r="C14" i="85"/>
  <c r="I54" i="85"/>
  <c r="J54" i="85"/>
  <c r="H54" i="85"/>
  <c r="G54" i="85"/>
  <c r="F54" i="85"/>
  <c r="E54" i="85"/>
  <c r="D54" i="85"/>
  <c r="C54" i="85"/>
  <c r="I15" i="85"/>
  <c r="J15" i="85"/>
  <c r="H15" i="85"/>
  <c r="G15" i="85"/>
  <c r="F15" i="85"/>
  <c r="E15" i="85"/>
  <c r="D15" i="85"/>
  <c r="C15" i="85"/>
  <c r="I45" i="85"/>
  <c r="J45" i="85"/>
  <c r="H45" i="85"/>
  <c r="G45" i="85"/>
  <c r="F45" i="85"/>
  <c r="E45" i="85"/>
  <c r="D45" i="85"/>
  <c r="C45" i="85"/>
  <c r="I83" i="85"/>
  <c r="J83" i="85"/>
  <c r="H83" i="85"/>
  <c r="G83" i="85"/>
  <c r="F83" i="85"/>
  <c r="E83" i="85"/>
  <c r="D83" i="85"/>
  <c r="C83" i="85"/>
  <c r="I50" i="85"/>
  <c r="J50" i="85"/>
  <c r="H50" i="85"/>
  <c r="G50" i="85"/>
  <c r="F50" i="85"/>
  <c r="E50" i="85"/>
  <c r="D50" i="85"/>
  <c r="C50" i="85"/>
  <c r="I13" i="85"/>
  <c r="J13" i="85"/>
  <c r="H13" i="85"/>
  <c r="G13" i="85"/>
  <c r="F13" i="85"/>
  <c r="E13" i="85"/>
  <c r="D13" i="85"/>
  <c r="C13" i="85"/>
  <c r="J26" i="85"/>
  <c r="H26" i="85"/>
  <c r="G26" i="85"/>
  <c r="F26" i="85"/>
  <c r="E26" i="85"/>
  <c r="D26" i="85"/>
  <c r="C26" i="85"/>
  <c r="J12" i="85"/>
  <c r="H12" i="85"/>
  <c r="G12" i="85"/>
  <c r="F12" i="85"/>
  <c r="E12" i="85"/>
  <c r="D12" i="85"/>
  <c r="C12" i="85"/>
  <c r="K4" i="85"/>
  <c r="A4" i="85"/>
  <c r="A2" i="85"/>
  <c r="A1" i="85"/>
  <c r="E155" i="84"/>
  <c r="D155" i="84"/>
  <c r="C155" i="84"/>
  <c r="E154" i="84"/>
  <c r="D154" i="84"/>
  <c r="C154" i="84"/>
  <c r="E153" i="84"/>
  <c r="D153" i="84"/>
  <c r="C153" i="84"/>
  <c r="E152" i="84"/>
  <c r="D152" i="84"/>
  <c r="C152" i="84"/>
  <c r="B129" i="84"/>
  <c r="H126" i="84"/>
  <c r="G126" i="84"/>
  <c r="F126" i="84"/>
  <c r="E126" i="84"/>
  <c r="D126" i="84"/>
  <c r="C126" i="84"/>
  <c r="H89" i="84"/>
  <c r="G89" i="84"/>
  <c r="F89" i="84"/>
  <c r="E89" i="84"/>
  <c r="D89" i="84"/>
  <c r="C89" i="84"/>
  <c r="H108" i="84"/>
  <c r="G108" i="84"/>
  <c r="F108" i="84"/>
  <c r="E108" i="84"/>
  <c r="D108" i="84"/>
  <c r="C108" i="84"/>
  <c r="H53" i="84"/>
  <c r="G53" i="84"/>
  <c r="F53" i="84"/>
  <c r="E53" i="84"/>
  <c r="D53" i="84"/>
  <c r="C53" i="84"/>
  <c r="H57" i="84"/>
  <c r="G57" i="84"/>
  <c r="F57" i="84"/>
  <c r="E57" i="84"/>
  <c r="D57" i="84"/>
  <c r="C57" i="84"/>
  <c r="H107" i="84"/>
  <c r="G107" i="84"/>
  <c r="F107" i="84"/>
  <c r="E107" i="84"/>
  <c r="D107" i="84"/>
  <c r="C107" i="84"/>
  <c r="H128" i="84"/>
  <c r="G128" i="84"/>
  <c r="F128" i="84"/>
  <c r="E128" i="84"/>
  <c r="D128" i="84"/>
  <c r="C128" i="84"/>
  <c r="H77" i="84"/>
  <c r="G77" i="84"/>
  <c r="F77" i="84"/>
  <c r="E77" i="84"/>
  <c r="D77" i="84"/>
  <c r="C77" i="84"/>
  <c r="H106" i="84"/>
  <c r="G106" i="84"/>
  <c r="F106" i="84"/>
  <c r="E106" i="84"/>
  <c r="D106" i="84"/>
  <c r="C106" i="84"/>
  <c r="H88" i="84"/>
  <c r="G88" i="84"/>
  <c r="F88" i="84"/>
  <c r="E88" i="84"/>
  <c r="D88" i="84"/>
  <c r="C88" i="84"/>
  <c r="H122" i="84"/>
  <c r="G122" i="84"/>
  <c r="F122" i="84"/>
  <c r="E122" i="84"/>
  <c r="D122" i="84"/>
  <c r="C122" i="84"/>
  <c r="H60" i="84"/>
  <c r="G60" i="84"/>
  <c r="F60" i="84"/>
  <c r="E60" i="84"/>
  <c r="D60" i="84"/>
  <c r="C60" i="84"/>
  <c r="H109" i="84"/>
  <c r="G109" i="84"/>
  <c r="F109" i="84"/>
  <c r="E109" i="84"/>
  <c r="D109" i="84"/>
  <c r="C109" i="84"/>
  <c r="H123" i="84"/>
  <c r="G123" i="84"/>
  <c r="F123" i="84"/>
  <c r="E123" i="84"/>
  <c r="D123" i="84"/>
  <c r="C123" i="84"/>
  <c r="H120" i="84"/>
  <c r="G120" i="84"/>
  <c r="F120" i="84"/>
  <c r="E120" i="84"/>
  <c r="D120" i="84"/>
  <c r="C120" i="84"/>
  <c r="H110" i="84"/>
  <c r="G110" i="84"/>
  <c r="F110" i="84"/>
  <c r="E110" i="84"/>
  <c r="D110" i="84"/>
  <c r="C110" i="84"/>
  <c r="H112" i="84"/>
  <c r="G112" i="84"/>
  <c r="F112" i="84"/>
  <c r="E112" i="84"/>
  <c r="D112" i="84"/>
  <c r="C112" i="84"/>
  <c r="H114" i="84"/>
  <c r="G114" i="84"/>
  <c r="F114" i="84"/>
  <c r="E114" i="84"/>
  <c r="D114" i="84"/>
  <c r="C114" i="84"/>
  <c r="H95" i="84"/>
  <c r="G95" i="84"/>
  <c r="F95" i="84"/>
  <c r="E95" i="84"/>
  <c r="D95" i="84"/>
  <c r="C95" i="84"/>
  <c r="H113" i="84"/>
  <c r="G113" i="84"/>
  <c r="F113" i="84"/>
  <c r="E113" i="84"/>
  <c r="D113" i="84"/>
  <c r="C113" i="84"/>
  <c r="H125" i="84"/>
  <c r="G125" i="84"/>
  <c r="F125" i="84"/>
  <c r="E125" i="84"/>
  <c r="D125" i="84"/>
  <c r="C125" i="84"/>
  <c r="H90" i="84"/>
  <c r="G90" i="84"/>
  <c r="F90" i="84"/>
  <c r="E90" i="84"/>
  <c r="D90" i="84"/>
  <c r="C90" i="84"/>
  <c r="H101" i="84"/>
  <c r="G101" i="84"/>
  <c r="F101" i="84"/>
  <c r="E101" i="84"/>
  <c r="D101" i="84"/>
  <c r="C101" i="84"/>
  <c r="H66" i="84"/>
  <c r="G66" i="84"/>
  <c r="F66" i="84"/>
  <c r="E66" i="84"/>
  <c r="D66" i="84"/>
  <c r="C66" i="84"/>
  <c r="H119" i="84"/>
  <c r="G119" i="84"/>
  <c r="F119" i="84"/>
  <c r="E119" i="84"/>
  <c r="D119" i="84"/>
  <c r="C119" i="84"/>
  <c r="H64" i="84"/>
  <c r="G64" i="84"/>
  <c r="F64" i="84"/>
  <c r="E64" i="84"/>
  <c r="D64" i="84"/>
  <c r="C64" i="84"/>
  <c r="H104" i="84"/>
  <c r="G104" i="84"/>
  <c r="F104" i="84"/>
  <c r="E104" i="84"/>
  <c r="D104" i="84"/>
  <c r="C104" i="84"/>
  <c r="H86" i="84"/>
  <c r="G86" i="84"/>
  <c r="F86" i="84"/>
  <c r="E86" i="84"/>
  <c r="D86" i="84"/>
  <c r="C86" i="84"/>
  <c r="H80" i="84"/>
  <c r="G80" i="84"/>
  <c r="F80" i="84"/>
  <c r="E80" i="84"/>
  <c r="D80" i="84"/>
  <c r="C80" i="84"/>
  <c r="H41" i="84"/>
  <c r="G41" i="84"/>
  <c r="F41" i="84"/>
  <c r="E41" i="84"/>
  <c r="D41" i="84"/>
  <c r="C41" i="84"/>
  <c r="H62" i="84"/>
  <c r="G62" i="84"/>
  <c r="F62" i="84"/>
  <c r="E62" i="84"/>
  <c r="D62" i="84"/>
  <c r="C62" i="84"/>
  <c r="H116" i="84"/>
  <c r="G116" i="84"/>
  <c r="F116" i="84"/>
  <c r="E116" i="84"/>
  <c r="D116" i="84"/>
  <c r="C116" i="84"/>
  <c r="H85" i="84"/>
  <c r="G85" i="84"/>
  <c r="F85" i="84"/>
  <c r="E85" i="84"/>
  <c r="D85" i="84"/>
  <c r="C85" i="84"/>
  <c r="H69" i="84"/>
  <c r="G69" i="84"/>
  <c r="F69" i="84"/>
  <c r="E69" i="84"/>
  <c r="D69" i="84"/>
  <c r="C69" i="84"/>
  <c r="H127" i="84"/>
  <c r="G127" i="84"/>
  <c r="F127" i="84"/>
  <c r="E127" i="84"/>
  <c r="D127" i="84"/>
  <c r="C127" i="84"/>
  <c r="H24" i="84"/>
  <c r="G24" i="84"/>
  <c r="F24" i="84"/>
  <c r="E24" i="84"/>
  <c r="D24" i="84"/>
  <c r="C24" i="84"/>
  <c r="H31" i="84"/>
  <c r="G31" i="84"/>
  <c r="F31" i="84"/>
  <c r="E31" i="84"/>
  <c r="D31" i="84"/>
  <c r="C31" i="84"/>
  <c r="H73" i="84"/>
  <c r="G73" i="84"/>
  <c r="F73" i="84"/>
  <c r="E73" i="84"/>
  <c r="D73" i="84"/>
  <c r="C73" i="84"/>
  <c r="H61" i="84"/>
  <c r="G61" i="84"/>
  <c r="F61" i="84"/>
  <c r="E61" i="84"/>
  <c r="D61" i="84"/>
  <c r="C61" i="84"/>
  <c r="H58" i="84"/>
  <c r="G58" i="84"/>
  <c r="F58" i="84"/>
  <c r="E58" i="84"/>
  <c r="D58" i="84"/>
  <c r="C58" i="84"/>
  <c r="H63" i="84"/>
  <c r="G63" i="84"/>
  <c r="F63" i="84"/>
  <c r="E63" i="84"/>
  <c r="D63" i="84"/>
  <c r="C63" i="84"/>
  <c r="H115" i="84"/>
  <c r="G115" i="84"/>
  <c r="F115" i="84"/>
  <c r="E115" i="84"/>
  <c r="D115" i="84"/>
  <c r="C115" i="84"/>
  <c r="H98" i="84"/>
  <c r="G98" i="84"/>
  <c r="F98" i="84"/>
  <c r="E98" i="84"/>
  <c r="D98" i="84"/>
  <c r="C98" i="84"/>
  <c r="H65" i="84"/>
  <c r="G65" i="84"/>
  <c r="F65" i="84"/>
  <c r="E65" i="84"/>
  <c r="D65" i="84"/>
  <c r="C65" i="84"/>
  <c r="H99" i="84"/>
  <c r="G99" i="84"/>
  <c r="F99" i="84"/>
  <c r="E99" i="84"/>
  <c r="D99" i="84"/>
  <c r="C99" i="84"/>
  <c r="H97" i="84"/>
  <c r="G97" i="84"/>
  <c r="F97" i="84"/>
  <c r="E97" i="84"/>
  <c r="D97" i="84"/>
  <c r="C97" i="84"/>
  <c r="H14" i="84"/>
  <c r="G14" i="84"/>
  <c r="F14" i="84"/>
  <c r="E14" i="84"/>
  <c r="D14" i="84"/>
  <c r="C14" i="84"/>
  <c r="H71" i="84"/>
  <c r="G71" i="84"/>
  <c r="F71" i="84"/>
  <c r="E71" i="84"/>
  <c r="D71" i="84"/>
  <c r="C71" i="84"/>
  <c r="H50" i="84"/>
  <c r="G50" i="84"/>
  <c r="F50" i="84"/>
  <c r="E50" i="84"/>
  <c r="D50" i="84"/>
  <c r="C50" i="84"/>
  <c r="H33" i="84"/>
  <c r="G33" i="84"/>
  <c r="F33" i="84"/>
  <c r="E33" i="84"/>
  <c r="D33" i="84"/>
  <c r="C33" i="84"/>
  <c r="H96" i="84"/>
  <c r="G96" i="84"/>
  <c r="F96" i="84"/>
  <c r="E96" i="84"/>
  <c r="D96" i="84"/>
  <c r="C96" i="84"/>
  <c r="H45" i="84"/>
  <c r="G45" i="84"/>
  <c r="F45" i="84"/>
  <c r="E45" i="84"/>
  <c r="D45" i="84"/>
  <c r="C45" i="84"/>
  <c r="H27" i="84"/>
  <c r="G27" i="84"/>
  <c r="F27" i="84"/>
  <c r="E27" i="84"/>
  <c r="D27" i="84"/>
  <c r="C27" i="84"/>
  <c r="H102" i="84"/>
  <c r="G102" i="84"/>
  <c r="F102" i="84"/>
  <c r="E102" i="84"/>
  <c r="D102" i="84"/>
  <c r="C102" i="84"/>
  <c r="H70" i="84"/>
  <c r="G70" i="84"/>
  <c r="F70" i="84"/>
  <c r="E70" i="84"/>
  <c r="D70" i="84"/>
  <c r="C70" i="84"/>
  <c r="H105" i="84"/>
  <c r="G105" i="84"/>
  <c r="F105" i="84"/>
  <c r="E105" i="84"/>
  <c r="D105" i="84"/>
  <c r="C105" i="84"/>
  <c r="H82" i="84"/>
  <c r="G82" i="84"/>
  <c r="F82" i="84"/>
  <c r="E82" i="84"/>
  <c r="D82" i="84"/>
  <c r="C82" i="84"/>
  <c r="H72" i="84"/>
  <c r="G72" i="84"/>
  <c r="F72" i="84"/>
  <c r="E72" i="84"/>
  <c r="D72" i="84"/>
  <c r="C72" i="84"/>
  <c r="H94" i="84"/>
  <c r="G94" i="84"/>
  <c r="F94" i="84"/>
  <c r="E94" i="84"/>
  <c r="D94" i="84"/>
  <c r="C94" i="84"/>
  <c r="H78" i="84"/>
  <c r="G78" i="84"/>
  <c r="F78" i="84"/>
  <c r="E78" i="84"/>
  <c r="D78" i="84"/>
  <c r="C78" i="84"/>
  <c r="H17" i="84"/>
  <c r="G17" i="84"/>
  <c r="F17" i="84"/>
  <c r="E17" i="84"/>
  <c r="D17" i="84"/>
  <c r="C17" i="84"/>
  <c r="H42" i="84"/>
  <c r="G42" i="84"/>
  <c r="F42" i="84"/>
  <c r="E42" i="84"/>
  <c r="D42" i="84"/>
  <c r="C42" i="84"/>
  <c r="H38" i="84"/>
  <c r="G38" i="84"/>
  <c r="F38" i="84"/>
  <c r="E38" i="84"/>
  <c r="D38" i="84"/>
  <c r="C38" i="84"/>
  <c r="H87" i="84"/>
  <c r="G87" i="84"/>
  <c r="F87" i="84"/>
  <c r="E87" i="84"/>
  <c r="D87" i="84"/>
  <c r="C87" i="84"/>
  <c r="H124" i="84"/>
  <c r="G124" i="84"/>
  <c r="F124" i="84"/>
  <c r="E124" i="84"/>
  <c r="D124" i="84"/>
  <c r="C124" i="84"/>
  <c r="H56" i="84"/>
  <c r="G56" i="84"/>
  <c r="F56" i="84"/>
  <c r="E56" i="84"/>
  <c r="D56" i="84"/>
  <c r="C56" i="84"/>
  <c r="H121" i="84"/>
  <c r="G121" i="84"/>
  <c r="F121" i="84"/>
  <c r="E121" i="84"/>
  <c r="D121" i="84"/>
  <c r="C121" i="84"/>
  <c r="H25" i="84"/>
  <c r="G25" i="84"/>
  <c r="F25" i="84"/>
  <c r="E25" i="84"/>
  <c r="D25" i="84"/>
  <c r="C25" i="84"/>
  <c r="H67" i="84"/>
  <c r="G67" i="84"/>
  <c r="F67" i="84"/>
  <c r="E67" i="84"/>
  <c r="D67" i="84"/>
  <c r="C67" i="84"/>
  <c r="H93" i="84"/>
  <c r="G93" i="84"/>
  <c r="F93" i="84"/>
  <c r="E93" i="84"/>
  <c r="D93" i="84"/>
  <c r="C93" i="84"/>
  <c r="H103" i="84"/>
  <c r="G103" i="84"/>
  <c r="F103" i="84"/>
  <c r="E103" i="84"/>
  <c r="D103" i="84"/>
  <c r="C103" i="84"/>
  <c r="H35" i="84"/>
  <c r="G35" i="84"/>
  <c r="F35" i="84"/>
  <c r="E35" i="84"/>
  <c r="D35" i="84"/>
  <c r="C35" i="84"/>
  <c r="H16" i="84"/>
  <c r="G16" i="84"/>
  <c r="F16" i="84"/>
  <c r="E16" i="84"/>
  <c r="D16" i="84"/>
  <c r="C16" i="84"/>
  <c r="H68" i="84"/>
  <c r="G68" i="84"/>
  <c r="F68" i="84"/>
  <c r="E68" i="84"/>
  <c r="D68" i="84"/>
  <c r="C68" i="84"/>
  <c r="H44" i="84"/>
  <c r="G44" i="84"/>
  <c r="F44" i="84"/>
  <c r="E44" i="84"/>
  <c r="D44" i="84"/>
  <c r="C44" i="84"/>
  <c r="H79" i="84"/>
  <c r="G79" i="84"/>
  <c r="F79" i="84"/>
  <c r="E79" i="84"/>
  <c r="D79" i="84"/>
  <c r="C79" i="84"/>
  <c r="H30" i="84"/>
  <c r="G30" i="84"/>
  <c r="F30" i="84"/>
  <c r="E30" i="84"/>
  <c r="D30" i="84"/>
  <c r="C30" i="84"/>
  <c r="H51" i="84"/>
  <c r="G51" i="84"/>
  <c r="F51" i="84"/>
  <c r="E51" i="84"/>
  <c r="D51" i="84"/>
  <c r="C51" i="84"/>
  <c r="H40" i="84"/>
  <c r="G40" i="84"/>
  <c r="F40" i="84"/>
  <c r="E40" i="84"/>
  <c r="D40" i="84"/>
  <c r="C40" i="84"/>
  <c r="H54" i="84"/>
  <c r="G54" i="84"/>
  <c r="F54" i="84"/>
  <c r="E54" i="84"/>
  <c r="D54" i="84"/>
  <c r="C54" i="84"/>
  <c r="H26" i="84"/>
  <c r="G26" i="84"/>
  <c r="F26" i="84"/>
  <c r="E26" i="84"/>
  <c r="D26" i="84"/>
  <c r="C26" i="84"/>
  <c r="H46" i="84"/>
  <c r="G46" i="84"/>
  <c r="F46" i="84"/>
  <c r="E46" i="84"/>
  <c r="D46" i="84"/>
  <c r="C46" i="84"/>
  <c r="H43" i="84"/>
  <c r="G43" i="84"/>
  <c r="F43" i="84"/>
  <c r="E43" i="84"/>
  <c r="D43" i="84"/>
  <c r="C43" i="84"/>
  <c r="H76" i="84"/>
  <c r="G76" i="84"/>
  <c r="F76" i="84"/>
  <c r="E76" i="84"/>
  <c r="D76" i="84"/>
  <c r="C76" i="84"/>
  <c r="H100" i="84"/>
  <c r="G100" i="84"/>
  <c r="F100" i="84"/>
  <c r="E100" i="84"/>
  <c r="D100" i="84"/>
  <c r="C100" i="84"/>
  <c r="H47" i="84"/>
  <c r="G47" i="84"/>
  <c r="F47" i="84"/>
  <c r="E47" i="84"/>
  <c r="D47" i="84"/>
  <c r="C47" i="84"/>
  <c r="H28" i="84"/>
  <c r="G28" i="84"/>
  <c r="F28" i="84"/>
  <c r="E28" i="84"/>
  <c r="D28" i="84"/>
  <c r="C28" i="84"/>
  <c r="H37" i="84"/>
  <c r="G37" i="84"/>
  <c r="F37" i="84"/>
  <c r="E37" i="84"/>
  <c r="D37" i="84"/>
  <c r="C37" i="84"/>
  <c r="H81" i="84"/>
  <c r="G81" i="84"/>
  <c r="F81" i="84"/>
  <c r="E81" i="84"/>
  <c r="D81" i="84"/>
  <c r="C81" i="84"/>
  <c r="H111" i="84"/>
  <c r="G111" i="84"/>
  <c r="F111" i="84"/>
  <c r="E111" i="84"/>
  <c r="D111" i="84"/>
  <c r="C111" i="84"/>
  <c r="H118" i="84"/>
  <c r="G118" i="84"/>
  <c r="F118" i="84"/>
  <c r="E118" i="84"/>
  <c r="D118" i="84"/>
  <c r="C118" i="84"/>
  <c r="H74" i="84"/>
  <c r="G74" i="84"/>
  <c r="F74" i="84"/>
  <c r="E74" i="84"/>
  <c r="D74" i="84"/>
  <c r="C74" i="84"/>
  <c r="H21" i="84"/>
  <c r="G21" i="84"/>
  <c r="F21" i="84"/>
  <c r="E21" i="84"/>
  <c r="D21" i="84"/>
  <c r="C21" i="84"/>
  <c r="H22" i="84"/>
  <c r="G22" i="84"/>
  <c r="F22" i="84"/>
  <c r="E22" i="84"/>
  <c r="D22" i="84"/>
  <c r="C22" i="84"/>
  <c r="H20" i="84"/>
  <c r="G20" i="84"/>
  <c r="F20" i="84"/>
  <c r="E20" i="84"/>
  <c r="D20" i="84"/>
  <c r="C20" i="84"/>
  <c r="H117" i="84"/>
  <c r="G117" i="84"/>
  <c r="F117" i="84"/>
  <c r="E117" i="84"/>
  <c r="D117" i="84"/>
  <c r="C117" i="84"/>
  <c r="H49" i="84"/>
  <c r="G49" i="84"/>
  <c r="F49" i="84"/>
  <c r="E49" i="84"/>
  <c r="D49" i="84"/>
  <c r="C49" i="84"/>
  <c r="H52" i="84"/>
  <c r="G52" i="84"/>
  <c r="F52" i="84"/>
  <c r="E52" i="84"/>
  <c r="D52" i="84"/>
  <c r="C52" i="84"/>
  <c r="H48" i="84"/>
  <c r="G48" i="84"/>
  <c r="F48" i="84"/>
  <c r="E48" i="84"/>
  <c r="D48" i="84"/>
  <c r="C48" i="84"/>
  <c r="H92" i="84"/>
  <c r="G92" i="84"/>
  <c r="F92" i="84"/>
  <c r="E92" i="84"/>
  <c r="D92" i="84"/>
  <c r="C92" i="84"/>
  <c r="H83" i="84"/>
  <c r="G83" i="84"/>
  <c r="F83" i="84"/>
  <c r="E83" i="84"/>
  <c r="D83" i="84"/>
  <c r="C83" i="84"/>
  <c r="H23" i="84"/>
  <c r="G23" i="84"/>
  <c r="F23" i="84"/>
  <c r="E23" i="84"/>
  <c r="D23" i="84"/>
  <c r="C23" i="84"/>
  <c r="H91" i="84"/>
  <c r="G91" i="84"/>
  <c r="F91" i="84"/>
  <c r="E91" i="84"/>
  <c r="D91" i="84"/>
  <c r="C91" i="84"/>
  <c r="H36" i="84"/>
  <c r="G36" i="84"/>
  <c r="F36" i="84"/>
  <c r="E36" i="84"/>
  <c r="D36" i="84"/>
  <c r="C36" i="84"/>
  <c r="H32" i="84"/>
  <c r="G32" i="84"/>
  <c r="F32" i="84"/>
  <c r="E32" i="84"/>
  <c r="D32" i="84"/>
  <c r="C32" i="84"/>
  <c r="H39" i="84"/>
  <c r="G39" i="84"/>
  <c r="F39" i="84"/>
  <c r="E39" i="84"/>
  <c r="D39" i="84"/>
  <c r="C39" i="84"/>
  <c r="H34" i="84"/>
  <c r="G34" i="84"/>
  <c r="F34" i="84"/>
  <c r="E34" i="84"/>
  <c r="D34" i="84"/>
  <c r="C34" i="84"/>
  <c r="H29" i="84"/>
  <c r="G29" i="84"/>
  <c r="F29" i="84"/>
  <c r="E29" i="84"/>
  <c r="D29" i="84"/>
  <c r="C29" i="84"/>
  <c r="H84" i="84"/>
  <c r="G84" i="84"/>
  <c r="F84" i="84"/>
  <c r="E84" i="84"/>
  <c r="D84" i="84"/>
  <c r="C84" i="84"/>
  <c r="H13" i="84"/>
  <c r="G13" i="84"/>
  <c r="F13" i="84"/>
  <c r="E13" i="84"/>
  <c r="D13" i="84"/>
  <c r="C13" i="84"/>
  <c r="H18" i="84"/>
  <c r="G18" i="84"/>
  <c r="F18" i="84"/>
  <c r="E18" i="84"/>
  <c r="D18" i="84"/>
  <c r="C18" i="84"/>
  <c r="H75" i="84"/>
  <c r="G75" i="84"/>
  <c r="F75" i="84"/>
  <c r="E75" i="84"/>
  <c r="D75" i="84"/>
  <c r="C75" i="84"/>
  <c r="H15" i="84"/>
  <c r="G15" i="84"/>
  <c r="F15" i="84"/>
  <c r="E15" i="84"/>
  <c r="D15" i="84"/>
  <c r="C15" i="84"/>
  <c r="H55" i="84"/>
  <c r="G55" i="84"/>
  <c r="F55" i="84"/>
  <c r="E55" i="84"/>
  <c r="D55" i="84"/>
  <c r="C55" i="84"/>
  <c r="H59" i="84"/>
  <c r="G59" i="84"/>
  <c r="F59" i="84"/>
  <c r="E59" i="84"/>
  <c r="D59" i="84"/>
  <c r="C59" i="84"/>
  <c r="H12" i="84"/>
  <c r="G12" i="84"/>
  <c r="F12" i="84"/>
  <c r="E12" i="84"/>
  <c r="D12" i="84"/>
  <c r="C12" i="84"/>
  <c r="H19" i="84"/>
  <c r="G19" i="84"/>
  <c r="F19" i="84"/>
  <c r="E19" i="84"/>
  <c r="D19" i="84"/>
  <c r="C19" i="84"/>
  <c r="A11" i="84"/>
  <c r="K3" i="84"/>
  <c r="A4" i="84"/>
  <c r="D3" i="84"/>
  <c r="E149" i="84"/>
  <c r="D149" i="84"/>
  <c r="C149" i="84"/>
  <c r="E148" i="84"/>
  <c r="D148" i="84"/>
  <c r="C148" i="84"/>
  <c r="E147" i="84"/>
  <c r="D147" i="84"/>
  <c r="C147" i="84"/>
  <c r="E146" i="84"/>
  <c r="D146" i="84"/>
  <c r="C146" i="84"/>
  <c r="E143" i="84"/>
  <c r="D143" i="84"/>
  <c r="C143" i="84"/>
  <c r="E142" i="84"/>
  <c r="D142" i="84"/>
  <c r="C142" i="84"/>
  <c r="E141" i="84"/>
  <c r="D141" i="84"/>
  <c r="C141" i="84"/>
  <c r="E140" i="84"/>
  <c r="D140" i="84"/>
  <c r="C140" i="84"/>
  <c r="E137" i="84"/>
  <c r="D137" i="84"/>
  <c r="C137" i="84"/>
  <c r="E136" i="84"/>
  <c r="D136" i="84"/>
  <c r="C136" i="84"/>
  <c r="E135" i="84"/>
  <c r="D135" i="84"/>
  <c r="C135" i="84"/>
  <c r="E134" i="84"/>
  <c r="D134" i="84"/>
  <c r="C134" i="84"/>
  <c r="T12" i="84"/>
  <c r="T13" i="84"/>
  <c r="T14" i="84"/>
  <c r="T15" i="84"/>
  <c r="T16" i="84"/>
  <c r="T17" i="84"/>
  <c r="T18" i="84"/>
  <c r="T19" i="84"/>
  <c r="T20" i="84"/>
  <c r="T21" i="84"/>
  <c r="T22" i="84"/>
  <c r="T23" i="84"/>
  <c r="T24" i="84"/>
  <c r="T25" i="84"/>
  <c r="T26" i="84"/>
  <c r="T27" i="84"/>
  <c r="T28" i="84"/>
  <c r="T29" i="84"/>
  <c r="T30" i="84"/>
  <c r="T31" i="84"/>
  <c r="T32" i="84"/>
  <c r="T33" i="84"/>
  <c r="T34" i="84"/>
  <c r="T35" i="84"/>
  <c r="T36" i="84"/>
  <c r="T37" i="84"/>
  <c r="T38" i="84"/>
  <c r="T39" i="84"/>
  <c r="T40" i="84"/>
  <c r="T41" i="84"/>
  <c r="T42" i="84"/>
  <c r="T43" i="84"/>
  <c r="T44" i="84"/>
  <c r="T45" i="84"/>
  <c r="T46" i="84"/>
  <c r="T47" i="84"/>
  <c r="T48" i="84"/>
  <c r="T49" i="84"/>
  <c r="T50" i="84"/>
  <c r="T51" i="84"/>
  <c r="T52" i="84"/>
  <c r="T53" i="84"/>
  <c r="T54" i="84"/>
  <c r="T55" i="84"/>
  <c r="T56" i="84"/>
  <c r="T57" i="84"/>
  <c r="T58" i="84"/>
  <c r="T59" i="84"/>
  <c r="T60" i="84"/>
  <c r="T61" i="84"/>
  <c r="T62" i="84"/>
  <c r="T63" i="84"/>
  <c r="T64" i="84"/>
  <c r="T65" i="84"/>
  <c r="T66" i="84"/>
  <c r="T67" i="84"/>
  <c r="T68" i="84"/>
  <c r="T69" i="84"/>
  <c r="T70" i="84"/>
  <c r="T71" i="84"/>
  <c r="T72" i="84"/>
  <c r="T73" i="84"/>
  <c r="T74" i="84"/>
  <c r="T75" i="84"/>
  <c r="T76" i="84"/>
  <c r="T77" i="84"/>
  <c r="T78" i="84"/>
  <c r="T79" i="84"/>
  <c r="T80" i="84"/>
  <c r="T81" i="84"/>
  <c r="T82" i="84"/>
  <c r="T83" i="84"/>
  <c r="T84" i="84"/>
  <c r="T85" i="84"/>
  <c r="T86" i="84"/>
  <c r="T87" i="84"/>
  <c r="T88" i="84"/>
  <c r="T89" i="84"/>
  <c r="T90" i="84"/>
  <c r="T91" i="84"/>
  <c r="T92" i="84"/>
  <c r="T93" i="84"/>
  <c r="T94" i="84"/>
  <c r="T95" i="84"/>
  <c r="T96" i="84"/>
  <c r="T97" i="84"/>
  <c r="T98" i="84"/>
  <c r="T99" i="84"/>
  <c r="T100" i="84"/>
  <c r="T101" i="84"/>
  <c r="T102" i="84"/>
  <c r="T103" i="84"/>
  <c r="T104" i="84"/>
  <c r="T105" i="84"/>
  <c r="T106" i="84"/>
  <c r="T107" i="84"/>
  <c r="T108" i="84"/>
  <c r="T109" i="84"/>
  <c r="T110" i="84"/>
  <c r="T111" i="84"/>
  <c r="T112" i="84"/>
  <c r="T113" i="84"/>
  <c r="T114" i="84"/>
  <c r="T115" i="84"/>
  <c r="T116" i="84"/>
  <c r="T117" i="84"/>
  <c r="T118" i="84"/>
  <c r="T119" i="84"/>
  <c r="T120" i="84"/>
  <c r="T121" i="84"/>
  <c r="T122" i="84"/>
  <c r="T123" i="84"/>
  <c r="T124" i="84"/>
  <c r="T125" i="84"/>
  <c r="T126" i="84"/>
  <c r="T127" i="84"/>
  <c r="T128" i="84"/>
  <c r="W128" i="84"/>
  <c r="K113" i="84"/>
  <c r="K128" i="84"/>
  <c r="P128" i="84"/>
  <c r="J40" i="84"/>
  <c r="W127" i="84"/>
  <c r="K88" i="84"/>
  <c r="K127" i="84"/>
  <c r="P127" i="84"/>
  <c r="J113" i="84"/>
  <c r="W126" i="84"/>
  <c r="K121" i="84"/>
  <c r="K126" i="84"/>
  <c r="P126" i="84"/>
  <c r="J49" i="84"/>
  <c r="W125" i="84"/>
  <c r="K111" i="84"/>
  <c r="K125" i="84"/>
  <c r="P125" i="84"/>
  <c r="J88" i="84"/>
  <c r="W124" i="84"/>
  <c r="K107" i="84"/>
  <c r="K124" i="84"/>
  <c r="P124" i="84"/>
  <c r="J54" i="84"/>
  <c r="W123" i="84"/>
  <c r="K123" i="84"/>
  <c r="P123" i="84"/>
  <c r="J59" i="84"/>
  <c r="W122" i="84"/>
  <c r="K90" i="84"/>
  <c r="K122" i="84"/>
  <c r="P122" i="84"/>
  <c r="J43" i="84"/>
  <c r="W121" i="84"/>
  <c r="K109" i="84"/>
  <c r="P121" i="84"/>
  <c r="J22" i="84"/>
  <c r="W120" i="84"/>
  <c r="K93" i="84"/>
  <c r="K120" i="84"/>
  <c r="P120" i="84"/>
  <c r="J13" i="84"/>
  <c r="W119" i="84"/>
  <c r="K92" i="84"/>
  <c r="K119" i="84"/>
  <c r="P119" i="84"/>
  <c r="J80" i="84"/>
  <c r="W118" i="84"/>
  <c r="K118" i="84"/>
  <c r="P118" i="84"/>
  <c r="J63" i="84"/>
  <c r="W117" i="84"/>
  <c r="K101" i="84"/>
  <c r="K117" i="84"/>
  <c r="P117" i="84"/>
  <c r="J24" i="84"/>
  <c r="W116" i="84"/>
  <c r="K114" i="84"/>
  <c r="K116" i="84"/>
  <c r="P116" i="84"/>
  <c r="J30" i="84"/>
  <c r="W115" i="84"/>
  <c r="K94" i="84"/>
  <c r="K115" i="84"/>
  <c r="P115" i="84"/>
  <c r="J29" i="84"/>
  <c r="W114" i="84"/>
  <c r="P114" i="84"/>
  <c r="J121" i="84"/>
  <c r="W113" i="84"/>
  <c r="K99" i="84"/>
  <c r="P113" i="84"/>
  <c r="J34" i="84"/>
  <c r="W112" i="84"/>
  <c r="K112" i="84"/>
  <c r="P112" i="84"/>
  <c r="J52" i="84"/>
  <c r="W111" i="84"/>
  <c r="P111" i="84"/>
  <c r="J111" i="84"/>
  <c r="W110" i="84"/>
  <c r="K106" i="84"/>
  <c r="K110" i="84"/>
  <c r="P110" i="84"/>
  <c r="J28" i="84"/>
  <c r="W109" i="84"/>
  <c r="P109" i="84"/>
  <c r="J64" i="84"/>
  <c r="W108" i="84"/>
  <c r="K95" i="84"/>
  <c r="K108" i="84"/>
  <c r="P108" i="84"/>
  <c r="J107" i="84"/>
  <c r="W107" i="84"/>
  <c r="K102" i="84"/>
  <c r="P107" i="84"/>
  <c r="W106" i="84"/>
  <c r="P106" i="84"/>
  <c r="J16" i="84"/>
  <c r="W105" i="84"/>
  <c r="K91" i="84"/>
  <c r="K105" i="84"/>
  <c r="P105" i="84"/>
  <c r="J26" i="84"/>
  <c r="W104" i="84"/>
  <c r="K100" i="84"/>
  <c r="K104" i="84"/>
  <c r="P104" i="84"/>
  <c r="J90" i="84"/>
  <c r="W103" i="84"/>
  <c r="K87" i="84"/>
  <c r="K103" i="84"/>
  <c r="P103" i="84"/>
  <c r="J50" i="84"/>
  <c r="W102" i="84"/>
  <c r="P102" i="84"/>
  <c r="J72" i="84"/>
  <c r="W101" i="84"/>
  <c r="P101" i="84"/>
  <c r="J18" i="84"/>
  <c r="W100" i="84"/>
  <c r="P100" i="84"/>
  <c r="J109" i="84"/>
  <c r="W99" i="84"/>
  <c r="P99" i="84"/>
  <c r="J93" i="84"/>
  <c r="W98" i="84"/>
  <c r="K98" i="84"/>
  <c r="P98" i="84"/>
  <c r="J92" i="84"/>
  <c r="W97" i="84"/>
  <c r="K97" i="84"/>
  <c r="P97" i="84"/>
  <c r="J53" i="84"/>
  <c r="W96" i="84"/>
  <c r="K96" i="84"/>
  <c r="P96" i="84"/>
  <c r="J77" i="84"/>
  <c r="W95" i="84"/>
  <c r="P95" i="84"/>
  <c r="J81" i="84"/>
  <c r="W94" i="84"/>
  <c r="P94" i="84"/>
  <c r="J73" i="84"/>
  <c r="W93" i="84"/>
  <c r="K89" i="84"/>
  <c r="P93" i="84"/>
  <c r="J86" i="84"/>
  <c r="W92" i="84"/>
  <c r="P92" i="84"/>
  <c r="J76" i="84"/>
  <c r="W91" i="84"/>
  <c r="P91" i="84"/>
  <c r="J21" i="84"/>
  <c r="W90" i="84"/>
  <c r="P90" i="84"/>
  <c r="J38" i="84"/>
  <c r="W89" i="84"/>
  <c r="P89" i="84"/>
  <c r="J60" i="84"/>
  <c r="W88" i="84"/>
  <c r="P88" i="84"/>
  <c r="J58" i="84"/>
  <c r="W87" i="84"/>
  <c r="P87" i="84"/>
  <c r="J48" i="84"/>
  <c r="W86" i="84"/>
  <c r="K86" i="84"/>
  <c r="P86" i="84"/>
  <c r="J51" i="84"/>
  <c r="W85" i="84"/>
  <c r="K85" i="84"/>
  <c r="P85" i="84"/>
  <c r="J56" i="84"/>
  <c r="W84" i="84"/>
  <c r="K84" i="84"/>
  <c r="P84" i="84"/>
  <c r="J55" i="84"/>
  <c r="W83" i="84"/>
  <c r="K83" i="84"/>
  <c r="P83" i="84"/>
  <c r="J19" i="84"/>
  <c r="W82" i="84"/>
  <c r="K82" i="84"/>
  <c r="P82" i="84"/>
  <c r="J12" i="84"/>
  <c r="W81" i="84"/>
  <c r="K81" i="84"/>
  <c r="P81" i="84"/>
  <c r="J118" i="84"/>
  <c r="W80" i="84"/>
  <c r="K80" i="84"/>
  <c r="P80" i="84"/>
  <c r="J101" i="84"/>
  <c r="W79" i="84"/>
  <c r="K79" i="84"/>
  <c r="P79" i="84"/>
  <c r="J114" i="84"/>
  <c r="W78" i="84"/>
  <c r="K78" i="84"/>
  <c r="P78" i="84"/>
  <c r="J57" i="84"/>
  <c r="W77" i="84"/>
  <c r="K77" i="84"/>
  <c r="P77" i="84"/>
  <c r="J94" i="84"/>
  <c r="W76" i="84"/>
  <c r="K76" i="84"/>
  <c r="P76" i="84"/>
  <c r="J42" i="84"/>
  <c r="W75" i="84"/>
  <c r="K75" i="84"/>
  <c r="P75" i="84"/>
  <c r="J20" i="84"/>
  <c r="W74" i="84"/>
  <c r="K74" i="84"/>
  <c r="P74" i="84"/>
  <c r="J119" i="84"/>
  <c r="W73" i="84"/>
  <c r="K73" i="84"/>
  <c r="P73" i="84"/>
  <c r="J14" i="84"/>
  <c r="W72" i="84"/>
  <c r="K72" i="84"/>
  <c r="P72" i="84"/>
  <c r="J37" i="84"/>
  <c r="W71" i="84"/>
  <c r="K71" i="84"/>
  <c r="P71" i="84"/>
  <c r="J46" i="84"/>
  <c r="W70" i="84"/>
  <c r="K70" i="84"/>
  <c r="P70" i="84"/>
  <c r="J79" i="84"/>
  <c r="W69" i="84"/>
  <c r="K69" i="84"/>
  <c r="P69" i="84"/>
  <c r="J74" i="84"/>
  <c r="W68" i="84"/>
  <c r="K68" i="84"/>
  <c r="P68" i="84"/>
  <c r="J44" i="84"/>
  <c r="W67" i="84"/>
  <c r="K67" i="84"/>
  <c r="P67" i="84"/>
  <c r="J33" i="84"/>
  <c r="W66" i="84"/>
  <c r="K66" i="84"/>
  <c r="P66" i="84"/>
  <c r="J31" i="84"/>
  <c r="W65" i="84"/>
  <c r="K65" i="84"/>
  <c r="P65" i="84"/>
  <c r="J41" i="84"/>
  <c r="W64" i="84"/>
  <c r="K64" i="84"/>
  <c r="P64" i="84"/>
  <c r="J17" i="84"/>
  <c r="W63" i="84"/>
  <c r="K63" i="84"/>
  <c r="P63" i="84"/>
  <c r="J99" i="84"/>
  <c r="W62" i="84"/>
  <c r="K62" i="84"/>
  <c r="P62" i="84"/>
  <c r="J112" i="84"/>
  <c r="W61" i="84"/>
  <c r="K61" i="84"/>
  <c r="P61" i="84"/>
  <c r="J126" i="84"/>
  <c r="W60" i="84"/>
  <c r="K60" i="84"/>
  <c r="P60" i="84"/>
  <c r="J106" i="84"/>
  <c r="W59" i="84"/>
  <c r="K59" i="84"/>
  <c r="P59" i="84"/>
  <c r="J123" i="84"/>
  <c r="W58" i="84"/>
  <c r="K58" i="84"/>
  <c r="P58" i="84"/>
  <c r="J71" i="84"/>
  <c r="W57" i="84"/>
  <c r="K57" i="84"/>
  <c r="P57" i="84"/>
  <c r="J95" i="84"/>
  <c r="W56" i="84"/>
  <c r="K56" i="84"/>
  <c r="P56" i="84"/>
  <c r="J102" i="84"/>
  <c r="W55" i="84"/>
  <c r="K55" i="84"/>
  <c r="P55" i="84"/>
  <c r="J75" i="84"/>
  <c r="W54" i="84"/>
  <c r="K54" i="84"/>
  <c r="P54" i="84"/>
  <c r="J82" i="84"/>
  <c r="W53" i="84"/>
  <c r="K53" i="84"/>
  <c r="P53" i="84"/>
  <c r="J124" i="84"/>
  <c r="W52" i="84"/>
  <c r="K52" i="84"/>
  <c r="P52" i="84"/>
  <c r="J91" i="84"/>
  <c r="W51" i="84"/>
  <c r="K51" i="84"/>
  <c r="P51" i="84"/>
  <c r="J47" i="84"/>
  <c r="W50" i="84"/>
  <c r="K50" i="84"/>
  <c r="P50" i="84"/>
  <c r="J100" i="84"/>
  <c r="W49" i="84"/>
  <c r="K49" i="84"/>
  <c r="P49" i="84"/>
  <c r="J87" i="84"/>
  <c r="W48" i="84"/>
  <c r="K48" i="84"/>
  <c r="P48" i="84"/>
  <c r="J120" i="84"/>
  <c r="W47" i="84"/>
  <c r="K47" i="84"/>
  <c r="P47" i="84"/>
  <c r="J23" i="84"/>
  <c r="W46" i="84"/>
  <c r="K46" i="84"/>
  <c r="P46" i="84"/>
  <c r="J65" i="84"/>
  <c r="W45" i="84"/>
  <c r="K45" i="84"/>
  <c r="P45" i="84"/>
  <c r="J78" i="84"/>
  <c r="W44" i="84"/>
  <c r="K44" i="84"/>
  <c r="P44" i="84"/>
  <c r="J45" i="84"/>
  <c r="W43" i="84"/>
  <c r="K43" i="84"/>
  <c r="P43" i="84"/>
  <c r="J105" i="84"/>
  <c r="W42" i="84"/>
  <c r="K42" i="84"/>
  <c r="P42" i="84"/>
  <c r="J108" i="84"/>
  <c r="W41" i="84"/>
  <c r="K41" i="84"/>
  <c r="P41" i="84"/>
  <c r="J116" i="84"/>
  <c r="W40" i="84"/>
  <c r="K40" i="84"/>
  <c r="P40" i="84"/>
  <c r="J15" i="84"/>
  <c r="W39" i="84"/>
  <c r="K39" i="84"/>
  <c r="P39" i="84"/>
  <c r="J68" i="84"/>
  <c r="W38" i="84"/>
  <c r="K38" i="84"/>
  <c r="P38" i="84"/>
  <c r="J115" i="84"/>
  <c r="W37" i="84"/>
  <c r="K37" i="84"/>
  <c r="P37" i="84"/>
  <c r="J66" i="84"/>
  <c r="W36" i="84"/>
  <c r="K36" i="84"/>
  <c r="P36" i="84"/>
  <c r="J25" i="84"/>
  <c r="W35" i="84"/>
  <c r="K35" i="84"/>
  <c r="P35" i="84"/>
  <c r="J98" i="84"/>
  <c r="W34" i="84"/>
  <c r="K34" i="84"/>
  <c r="P34" i="84"/>
  <c r="J35" i="84"/>
  <c r="W33" i="84"/>
  <c r="K33" i="84"/>
  <c r="P33" i="84"/>
  <c r="J85" i="84"/>
  <c r="W32" i="84"/>
  <c r="K32" i="84"/>
  <c r="P32" i="84"/>
  <c r="J103" i="84"/>
  <c r="W31" i="84"/>
  <c r="K31" i="84"/>
  <c r="P31" i="84"/>
  <c r="J122" i="84"/>
  <c r="W30" i="84"/>
  <c r="K30" i="84"/>
  <c r="P30" i="84"/>
  <c r="J67" i="84"/>
  <c r="W29" i="84"/>
  <c r="K29" i="84"/>
  <c r="P29" i="84"/>
  <c r="J39" i="84"/>
  <c r="W28" i="84"/>
  <c r="K28" i="84"/>
  <c r="P28" i="84"/>
  <c r="J62" i="84"/>
  <c r="W27" i="84"/>
  <c r="K27" i="84"/>
  <c r="P27" i="84"/>
  <c r="J61" i="84"/>
  <c r="W26" i="84"/>
  <c r="K26" i="84"/>
  <c r="P26" i="84"/>
  <c r="J69" i="84"/>
  <c r="W25" i="84"/>
  <c r="K25" i="84"/>
  <c r="P25" i="84"/>
  <c r="J110" i="84"/>
  <c r="W24" i="84"/>
  <c r="K24" i="84"/>
  <c r="P24" i="84"/>
  <c r="J89" i="84"/>
  <c r="W23" i="84"/>
  <c r="K23" i="84"/>
  <c r="P23" i="84"/>
  <c r="J27" i="84"/>
  <c r="W22" i="84"/>
  <c r="K22" i="84"/>
  <c r="P22" i="84"/>
  <c r="J70" i="84"/>
  <c r="W21" i="84"/>
  <c r="K21" i="84"/>
  <c r="P21" i="84"/>
  <c r="W20" i="84"/>
  <c r="K20" i="84"/>
  <c r="P20" i="84"/>
  <c r="J104" i="84"/>
  <c r="W19" i="84"/>
  <c r="K19" i="84"/>
  <c r="P19" i="84"/>
  <c r="J125" i="84"/>
  <c r="W18" i="84"/>
  <c r="K18" i="84"/>
  <c r="P18" i="84"/>
  <c r="J96" i="84"/>
  <c r="W17" i="84"/>
  <c r="K17" i="84"/>
  <c r="P17" i="84"/>
  <c r="J84" i="84"/>
  <c r="W16" i="84"/>
  <c r="K16" i="84"/>
  <c r="P16" i="84"/>
  <c r="J97" i="84"/>
  <c r="W15" i="84"/>
  <c r="K15" i="84"/>
  <c r="P15" i="84"/>
  <c r="J117" i="84"/>
  <c r="W14" i="84"/>
  <c r="P14" i="84"/>
  <c r="J32" i="84"/>
  <c r="W13" i="84"/>
  <c r="P13" i="84"/>
  <c r="J83" i="84"/>
  <c r="W12" i="84"/>
  <c r="P12" i="84"/>
  <c r="J36" i="84"/>
  <c r="K4" i="84"/>
  <c r="A2" i="84"/>
  <c r="V1" i="84"/>
  <c r="A1" i="84"/>
  <c r="B35" i="83"/>
  <c r="D3" i="83"/>
  <c r="AF35" i="83"/>
  <c r="Q35" i="83"/>
  <c r="AH34" i="83"/>
  <c r="AG34" i="83"/>
  <c r="AA34" i="83"/>
  <c r="Z34" i="83"/>
  <c r="S34" i="83"/>
  <c r="R34" i="83"/>
  <c r="AH33" i="83"/>
  <c r="AG33" i="83"/>
  <c r="AA33" i="83"/>
  <c r="Z33" i="83"/>
  <c r="L33" i="83"/>
  <c r="K33" i="83"/>
  <c r="AH32" i="83"/>
  <c r="AG32" i="83"/>
  <c r="AA32" i="83"/>
  <c r="Z32" i="83"/>
  <c r="S32" i="83"/>
  <c r="R32" i="83"/>
  <c r="L32" i="83"/>
  <c r="K32" i="83"/>
  <c r="D32" i="83"/>
  <c r="C32" i="83"/>
  <c r="AH31" i="83"/>
  <c r="AG31" i="83"/>
  <c r="D31" i="83"/>
  <c r="C31" i="83"/>
  <c r="AH30" i="83"/>
  <c r="AG30" i="83"/>
  <c r="AA30" i="83"/>
  <c r="Z30" i="83"/>
  <c r="S30" i="83"/>
  <c r="R30" i="83"/>
  <c r="L30" i="83"/>
  <c r="K30" i="83"/>
  <c r="D30" i="83"/>
  <c r="C30" i="83"/>
  <c r="AH29" i="83"/>
  <c r="AG29" i="83"/>
  <c r="AA29" i="83"/>
  <c r="Z29" i="83"/>
  <c r="L29" i="83"/>
  <c r="K29" i="83"/>
  <c r="D29" i="83"/>
  <c r="C29" i="83"/>
  <c r="AH28" i="83"/>
  <c r="AG28" i="83"/>
  <c r="AA28" i="83"/>
  <c r="Z28" i="83"/>
  <c r="S28" i="83"/>
  <c r="R28" i="83"/>
  <c r="L28" i="83"/>
  <c r="K28" i="83"/>
  <c r="D28" i="83"/>
  <c r="C28" i="83"/>
  <c r="AH27" i="83"/>
  <c r="AG27" i="83"/>
  <c r="AA27" i="83"/>
  <c r="Z27" i="83"/>
  <c r="S27" i="83"/>
  <c r="R27" i="83"/>
  <c r="L27" i="83"/>
  <c r="K27" i="83"/>
  <c r="D27" i="83"/>
  <c r="C27" i="83"/>
  <c r="AH26" i="83"/>
  <c r="AG26" i="83"/>
  <c r="AA26" i="83"/>
  <c r="Z26" i="83"/>
  <c r="S26" i="83"/>
  <c r="R26" i="83"/>
  <c r="L26" i="83"/>
  <c r="K26" i="83"/>
  <c r="D26" i="83"/>
  <c r="C26" i="83"/>
  <c r="AH25" i="83"/>
  <c r="AG25" i="83"/>
  <c r="AA25" i="83"/>
  <c r="Z25" i="83"/>
  <c r="S25" i="83"/>
  <c r="R25" i="83"/>
  <c r="L25" i="83"/>
  <c r="K25" i="83"/>
  <c r="D25" i="83"/>
  <c r="C25" i="83"/>
  <c r="AH24" i="83"/>
  <c r="AG24" i="83"/>
  <c r="AA24" i="83"/>
  <c r="Z24" i="83"/>
  <c r="S24" i="83"/>
  <c r="R24" i="83"/>
  <c r="L24" i="83"/>
  <c r="K24" i="83"/>
  <c r="D24" i="83"/>
  <c r="C24" i="83"/>
  <c r="AH23" i="83"/>
  <c r="AG23" i="83"/>
  <c r="AA23" i="83"/>
  <c r="Z23" i="83"/>
  <c r="L23" i="83"/>
  <c r="K23" i="83"/>
  <c r="D23" i="83"/>
  <c r="C23" i="83"/>
  <c r="AH22" i="83"/>
  <c r="AG22" i="83"/>
  <c r="AA22" i="83"/>
  <c r="Z22" i="83"/>
  <c r="L22" i="83"/>
  <c r="K22" i="83"/>
  <c r="D22" i="83"/>
  <c r="C22" i="83"/>
  <c r="AH21" i="83"/>
  <c r="AG21" i="83"/>
  <c r="AA21" i="83"/>
  <c r="Z21" i="83"/>
  <c r="S21" i="83"/>
  <c r="R21" i="83"/>
  <c r="L21" i="83"/>
  <c r="K21" i="83"/>
  <c r="D21" i="83"/>
  <c r="C21" i="83"/>
  <c r="AH20" i="83"/>
  <c r="AG20" i="83"/>
  <c r="AA20" i="83"/>
  <c r="Z20" i="83"/>
  <c r="S20" i="83"/>
  <c r="R20" i="83"/>
  <c r="L20" i="83"/>
  <c r="K20" i="83"/>
  <c r="AH19" i="83"/>
  <c r="AG19" i="83"/>
  <c r="S19" i="83"/>
  <c r="R19" i="83"/>
  <c r="L19" i="83"/>
  <c r="K19" i="83"/>
  <c r="D19" i="83"/>
  <c r="C19" i="83"/>
  <c r="AA18" i="83"/>
  <c r="Z18" i="83"/>
  <c r="S18" i="83"/>
  <c r="R18" i="83"/>
  <c r="L18" i="83"/>
  <c r="K18" i="83"/>
  <c r="D18" i="83"/>
  <c r="C18" i="83"/>
  <c r="AH17" i="83"/>
  <c r="AG17" i="83"/>
  <c r="AA17" i="83"/>
  <c r="Z17" i="83"/>
  <c r="S17" i="83"/>
  <c r="R17" i="83"/>
  <c r="L17" i="83"/>
  <c r="K17" i="83"/>
  <c r="D17" i="83"/>
  <c r="C17" i="83"/>
  <c r="AH16" i="83"/>
  <c r="AG16" i="83"/>
  <c r="AA16" i="83"/>
  <c r="Z16" i="83"/>
  <c r="S16" i="83"/>
  <c r="R16" i="83"/>
  <c r="L16" i="83"/>
  <c r="K16" i="83"/>
  <c r="D16" i="83"/>
  <c r="C16" i="83"/>
  <c r="AH15" i="83"/>
  <c r="AG15" i="83"/>
  <c r="AA15" i="83"/>
  <c r="Z15" i="83"/>
  <c r="S15" i="83"/>
  <c r="R15" i="83"/>
  <c r="L15" i="83"/>
  <c r="K15" i="83"/>
  <c r="D15" i="83"/>
  <c r="C15" i="83"/>
  <c r="AP14" i="83"/>
  <c r="AO14" i="83"/>
  <c r="AH14" i="83"/>
  <c r="AG14" i="83"/>
  <c r="AA14" i="83"/>
  <c r="Z14" i="83"/>
  <c r="S14" i="83"/>
  <c r="R14" i="83"/>
  <c r="L14" i="83"/>
  <c r="K14" i="83"/>
  <c r="D14" i="83"/>
  <c r="C14" i="83"/>
  <c r="AP13" i="83"/>
  <c r="AO13" i="83"/>
  <c r="AH13" i="83"/>
  <c r="AG13" i="83"/>
  <c r="AA13" i="83"/>
  <c r="Z13" i="83"/>
  <c r="S13" i="83"/>
  <c r="R13" i="83"/>
  <c r="L13" i="83"/>
  <c r="K13" i="83"/>
  <c r="D13" i="83"/>
  <c r="C13" i="83"/>
  <c r="AP12" i="83"/>
  <c r="AO12" i="83"/>
  <c r="AH12" i="83"/>
  <c r="AG12" i="83"/>
  <c r="AA12" i="83"/>
  <c r="Z12" i="83"/>
  <c r="S12" i="83"/>
  <c r="R12" i="83"/>
  <c r="L12" i="83"/>
  <c r="K12" i="83"/>
  <c r="D12" i="83"/>
  <c r="C12" i="83"/>
  <c r="AP11" i="83"/>
  <c r="AO11" i="83"/>
  <c r="AH11" i="83"/>
  <c r="AG11" i="83"/>
  <c r="AA11" i="83"/>
  <c r="Z11" i="83"/>
  <c r="L11" i="83"/>
  <c r="K11" i="83"/>
  <c r="D11" i="83"/>
  <c r="C11" i="83"/>
  <c r="AP10" i="83"/>
  <c r="AO10" i="83"/>
  <c r="AH10" i="83"/>
  <c r="AG10" i="83"/>
  <c r="AA10" i="83"/>
  <c r="Z10" i="83"/>
  <c r="S10" i="83"/>
  <c r="R10" i="83"/>
  <c r="L10" i="83"/>
  <c r="K10" i="83"/>
  <c r="AH3" i="83"/>
  <c r="S3" i="83"/>
  <c r="AE2" i="83"/>
  <c r="P2" i="83"/>
  <c r="A2" i="83"/>
  <c r="AE1" i="83"/>
  <c r="P1" i="83"/>
  <c r="A1" i="83"/>
  <c r="B35" i="81"/>
  <c r="A4" i="78"/>
  <c r="D3" i="78"/>
  <c r="AE3" i="82"/>
  <c r="S3" i="78"/>
  <c r="B4" i="82"/>
  <c r="D3" i="82"/>
  <c r="AD29" i="82"/>
  <c r="AD12" i="82"/>
  <c r="AE29" i="82"/>
  <c r="D29" i="82"/>
  <c r="AD28" i="82"/>
  <c r="AE28" i="82"/>
  <c r="D23" i="82"/>
  <c r="AD27" i="82"/>
  <c r="AE27" i="82"/>
  <c r="D20" i="82"/>
  <c r="AD26" i="82"/>
  <c r="AE26" i="82"/>
  <c r="D28" i="82"/>
  <c r="AD25" i="82"/>
  <c r="AE25" i="82"/>
  <c r="D14" i="82"/>
  <c r="AD24" i="82"/>
  <c r="AE24" i="82"/>
  <c r="D21" i="82"/>
  <c r="AD23" i="82"/>
  <c r="AE23" i="82"/>
  <c r="D16" i="82"/>
  <c r="AD22" i="82"/>
  <c r="AE22" i="82"/>
  <c r="D17" i="82"/>
  <c r="AD21" i="82"/>
  <c r="AE21" i="82"/>
  <c r="D26" i="82"/>
  <c r="AD19" i="82"/>
  <c r="AE19" i="82"/>
  <c r="D25" i="82"/>
  <c r="AD20" i="82"/>
  <c r="AE20" i="82"/>
  <c r="D27" i="82"/>
  <c r="AD18" i="82"/>
  <c r="AE18" i="82"/>
  <c r="D18" i="82"/>
  <c r="AD17" i="82"/>
  <c r="AE17" i="82"/>
  <c r="D22" i="82"/>
  <c r="AD15" i="82"/>
  <c r="AE15" i="82"/>
  <c r="D24" i="82"/>
  <c r="AD16" i="82"/>
  <c r="AE16" i="82"/>
  <c r="D13" i="82"/>
  <c r="AD14" i="82"/>
  <c r="AE14" i="82"/>
  <c r="D15" i="82"/>
  <c r="AD13" i="82"/>
  <c r="AE13" i="82"/>
  <c r="D19" i="82"/>
  <c r="AE12" i="82"/>
  <c r="D12" i="82"/>
  <c r="AE4" i="82"/>
  <c r="B2" i="82"/>
  <c r="B1" i="82"/>
  <c r="I63" i="77"/>
  <c r="I49" i="77"/>
  <c r="I23" i="77"/>
  <c r="I36" i="77"/>
  <c r="I16" i="77"/>
  <c r="I13" i="77"/>
  <c r="I12" i="77"/>
  <c r="I128" i="77"/>
  <c r="K11" i="77"/>
  <c r="D3" i="81"/>
  <c r="A1" i="81"/>
  <c r="AF35" i="81"/>
  <c r="Q35" i="81"/>
  <c r="AH34" i="81"/>
  <c r="AG34" i="81"/>
  <c r="AA34" i="81"/>
  <c r="Z34" i="81"/>
  <c r="S34" i="81"/>
  <c r="R34" i="81"/>
  <c r="AH33" i="81"/>
  <c r="AG33" i="81"/>
  <c r="AA33" i="81"/>
  <c r="Z33" i="81"/>
  <c r="L33" i="81"/>
  <c r="K33" i="81"/>
  <c r="AH32" i="81"/>
  <c r="AG32" i="81"/>
  <c r="AA32" i="81"/>
  <c r="Z32" i="81"/>
  <c r="S32" i="81"/>
  <c r="R32" i="81"/>
  <c r="L32" i="81"/>
  <c r="K32" i="81"/>
  <c r="D32" i="81"/>
  <c r="C32" i="81"/>
  <c r="AH31" i="81"/>
  <c r="AG31" i="81"/>
  <c r="D31" i="81"/>
  <c r="C31" i="81"/>
  <c r="AH30" i="81"/>
  <c r="AG30" i="81"/>
  <c r="AA30" i="81"/>
  <c r="Z30" i="81"/>
  <c r="S30" i="81"/>
  <c r="R30" i="81"/>
  <c r="L30" i="81"/>
  <c r="K30" i="81"/>
  <c r="D30" i="81"/>
  <c r="C30" i="81"/>
  <c r="AH29" i="81"/>
  <c r="AG29" i="81"/>
  <c r="AA29" i="81"/>
  <c r="Z29" i="81"/>
  <c r="L29" i="81"/>
  <c r="K29" i="81"/>
  <c r="D29" i="81"/>
  <c r="C29" i="81"/>
  <c r="AH28" i="81"/>
  <c r="AG28" i="81"/>
  <c r="AA28" i="81"/>
  <c r="Z28" i="81"/>
  <c r="S28" i="81"/>
  <c r="R28" i="81"/>
  <c r="L28" i="81"/>
  <c r="K28" i="81"/>
  <c r="D28" i="81"/>
  <c r="C28" i="81"/>
  <c r="AH27" i="81"/>
  <c r="AG27" i="81"/>
  <c r="AA27" i="81"/>
  <c r="Z27" i="81"/>
  <c r="S27" i="81"/>
  <c r="R27" i="81"/>
  <c r="L27" i="81"/>
  <c r="K27" i="81"/>
  <c r="D27" i="81"/>
  <c r="C27" i="81"/>
  <c r="AH26" i="81"/>
  <c r="AG26" i="81"/>
  <c r="AA26" i="81"/>
  <c r="Z26" i="81"/>
  <c r="S26" i="81"/>
  <c r="R26" i="81"/>
  <c r="L26" i="81"/>
  <c r="K26" i="81"/>
  <c r="D26" i="81"/>
  <c r="C26" i="81"/>
  <c r="AH25" i="81"/>
  <c r="AG25" i="81"/>
  <c r="AA25" i="81"/>
  <c r="Z25" i="81"/>
  <c r="S25" i="81"/>
  <c r="R25" i="81"/>
  <c r="L25" i="81"/>
  <c r="K25" i="81"/>
  <c r="D25" i="81"/>
  <c r="C25" i="81"/>
  <c r="AH24" i="81"/>
  <c r="AG24" i="81"/>
  <c r="AA24" i="81"/>
  <c r="Z24" i="81"/>
  <c r="S24" i="81"/>
  <c r="R24" i="81"/>
  <c r="L24" i="81"/>
  <c r="K24" i="81"/>
  <c r="D24" i="81"/>
  <c r="C24" i="81"/>
  <c r="AH23" i="81"/>
  <c r="AG23" i="81"/>
  <c r="AA23" i="81"/>
  <c r="Z23" i="81"/>
  <c r="L23" i="81"/>
  <c r="K23" i="81"/>
  <c r="D23" i="81"/>
  <c r="C23" i="81"/>
  <c r="AH22" i="81"/>
  <c r="AG22" i="81"/>
  <c r="AA22" i="81"/>
  <c r="Z22" i="81"/>
  <c r="L22" i="81"/>
  <c r="K22" i="81"/>
  <c r="D22" i="81"/>
  <c r="C22" i="81"/>
  <c r="AH21" i="81"/>
  <c r="AG21" i="81"/>
  <c r="AA21" i="81"/>
  <c r="Z21" i="81"/>
  <c r="S21" i="81"/>
  <c r="R21" i="81"/>
  <c r="L21" i="81"/>
  <c r="K21" i="81"/>
  <c r="D21" i="81"/>
  <c r="C21" i="81"/>
  <c r="AH20" i="81"/>
  <c r="AG20" i="81"/>
  <c r="AA20" i="81"/>
  <c r="Z20" i="81"/>
  <c r="S20" i="81"/>
  <c r="R20" i="81"/>
  <c r="L20" i="81"/>
  <c r="K20" i="81"/>
  <c r="D20" i="81"/>
  <c r="C20" i="81"/>
  <c r="AH19" i="81"/>
  <c r="AG19" i="81"/>
  <c r="S19" i="81"/>
  <c r="R19" i="81"/>
  <c r="L19" i="81"/>
  <c r="K19" i="81"/>
  <c r="D19" i="81"/>
  <c r="C19" i="81"/>
  <c r="AH18" i="81"/>
  <c r="AG18" i="81"/>
  <c r="AA18" i="81"/>
  <c r="Z18" i="81"/>
  <c r="S18" i="81"/>
  <c r="R18" i="81"/>
  <c r="L18" i="81"/>
  <c r="K18" i="81"/>
  <c r="D18" i="81"/>
  <c r="C18" i="81"/>
  <c r="AH17" i="81"/>
  <c r="AG17" i="81"/>
  <c r="AA17" i="81"/>
  <c r="Z17" i="81"/>
  <c r="S17" i="81"/>
  <c r="R17" i="81"/>
  <c r="L17" i="81"/>
  <c r="K17" i="81"/>
  <c r="D17" i="81"/>
  <c r="C17" i="81"/>
  <c r="AH16" i="81"/>
  <c r="AG16" i="81"/>
  <c r="AA16" i="81"/>
  <c r="Z16" i="81"/>
  <c r="S16" i="81"/>
  <c r="R16" i="81"/>
  <c r="L16" i="81"/>
  <c r="K16" i="81"/>
  <c r="D16" i="81"/>
  <c r="C16" i="81"/>
  <c r="AH15" i="81"/>
  <c r="AG15" i="81"/>
  <c r="AA15" i="81"/>
  <c r="Z15" i="81"/>
  <c r="S15" i="81"/>
  <c r="R15" i="81"/>
  <c r="L15" i="81"/>
  <c r="K15" i="81"/>
  <c r="D15" i="81"/>
  <c r="C15" i="81"/>
  <c r="AP14" i="81"/>
  <c r="AO14" i="81"/>
  <c r="AH14" i="81"/>
  <c r="AG14" i="81"/>
  <c r="AA14" i="81"/>
  <c r="Z14" i="81"/>
  <c r="S14" i="81"/>
  <c r="R14" i="81"/>
  <c r="L14" i="81"/>
  <c r="K14" i="81"/>
  <c r="D14" i="81"/>
  <c r="C14" i="81"/>
  <c r="AP13" i="81"/>
  <c r="AO13" i="81"/>
  <c r="AH13" i="81"/>
  <c r="AG13" i="81"/>
  <c r="AA13" i="81"/>
  <c r="Z13" i="81"/>
  <c r="S13" i="81"/>
  <c r="R13" i="81"/>
  <c r="L13" i="81"/>
  <c r="K13" i="81"/>
  <c r="D13" i="81"/>
  <c r="C13" i="81"/>
  <c r="AP12" i="81"/>
  <c r="AO12" i="81"/>
  <c r="AH12" i="81"/>
  <c r="AG12" i="81"/>
  <c r="AA12" i="81"/>
  <c r="Z12" i="81"/>
  <c r="S12" i="81"/>
  <c r="R12" i="81"/>
  <c r="L12" i="81"/>
  <c r="K12" i="81"/>
  <c r="D12" i="81"/>
  <c r="C12" i="81"/>
  <c r="AP11" i="81"/>
  <c r="AO11" i="81"/>
  <c r="AH11" i="81"/>
  <c r="AG11" i="81"/>
  <c r="AA11" i="81"/>
  <c r="Z11" i="81"/>
  <c r="L11" i="81"/>
  <c r="K11" i="81"/>
  <c r="D11" i="81"/>
  <c r="C11" i="81"/>
  <c r="AP10" i="81"/>
  <c r="AO10" i="81"/>
  <c r="AH10" i="81"/>
  <c r="AG10" i="81"/>
  <c r="AA10" i="81"/>
  <c r="Z10" i="81"/>
  <c r="S10" i="81"/>
  <c r="R10" i="81"/>
  <c r="L10" i="81"/>
  <c r="K10" i="81"/>
  <c r="AH3" i="81"/>
  <c r="S3" i="81"/>
  <c r="AE2" i="81"/>
  <c r="P2" i="81"/>
  <c r="A2" i="81"/>
  <c r="AE1" i="81"/>
  <c r="P1" i="81"/>
  <c r="K3" i="79"/>
  <c r="K3" i="77"/>
  <c r="A11" i="79"/>
  <c r="A4" i="79"/>
  <c r="D3" i="79"/>
  <c r="D172" i="79"/>
  <c r="D171" i="79"/>
  <c r="D170" i="79"/>
  <c r="D169" i="79"/>
  <c r="D168" i="79"/>
  <c r="D167" i="79"/>
  <c r="D166" i="79"/>
  <c r="D165" i="79"/>
  <c r="D164" i="79"/>
  <c r="D163" i="79"/>
  <c r="D162" i="79"/>
  <c r="D161" i="79"/>
  <c r="D160" i="79"/>
  <c r="D159" i="79"/>
  <c r="D158" i="79"/>
  <c r="D157" i="79"/>
  <c r="D156" i="79"/>
  <c r="D155" i="79"/>
  <c r="E151" i="79"/>
  <c r="E149" i="79"/>
  <c r="E148" i="79"/>
  <c r="E147" i="79"/>
  <c r="E146" i="79"/>
  <c r="B142" i="79"/>
  <c r="H141" i="79"/>
  <c r="G141" i="79"/>
  <c r="F141" i="79"/>
  <c r="E141" i="79"/>
  <c r="D141" i="79"/>
  <c r="C141" i="79"/>
  <c r="H140" i="79"/>
  <c r="G140" i="79"/>
  <c r="F140" i="79"/>
  <c r="E140" i="79"/>
  <c r="D140" i="79"/>
  <c r="C140" i="79"/>
  <c r="H139" i="79"/>
  <c r="G139" i="79"/>
  <c r="F139" i="79"/>
  <c r="E139" i="79"/>
  <c r="D139" i="79"/>
  <c r="C139" i="79"/>
  <c r="H138" i="79"/>
  <c r="G138" i="79"/>
  <c r="F138" i="79"/>
  <c r="E138" i="79"/>
  <c r="D138" i="79"/>
  <c r="C138" i="79"/>
  <c r="H137" i="79"/>
  <c r="G137" i="79"/>
  <c r="F137" i="79"/>
  <c r="E137" i="79"/>
  <c r="D137" i="79"/>
  <c r="C137" i="79"/>
  <c r="H136" i="79"/>
  <c r="G136" i="79"/>
  <c r="F136" i="79"/>
  <c r="E136" i="79"/>
  <c r="D136" i="79"/>
  <c r="C136" i="79"/>
  <c r="H135" i="79"/>
  <c r="G135" i="79"/>
  <c r="F135" i="79"/>
  <c r="E135" i="79"/>
  <c r="D135" i="79"/>
  <c r="C135" i="79"/>
  <c r="H134" i="79"/>
  <c r="G134" i="79"/>
  <c r="F134" i="79"/>
  <c r="E134" i="79"/>
  <c r="D134" i="79"/>
  <c r="C134" i="79"/>
  <c r="H133" i="79"/>
  <c r="G133" i="79"/>
  <c r="F133" i="79"/>
  <c r="E133" i="79"/>
  <c r="D133" i="79"/>
  <c r="C133" i="79"/>
  <c r="H132" i="79"/>
  <c r="G132" i="79"/>
  <c r="F132" i="79"/>
  <c r="E132" i="79"/>
  <c r="D132" i="79"/>
  <c r="C132" i="79"/>
  <c r="H131" i="79"/>
  <c r="G131" i="79"/>
  <c r="F131" i="79"/>
  <c r="E131" i="79"/>
  <c r="D131" i="79"/>
  <c r="C131" i="79"/>
  <c r="H129" i="79"/>
  <c r="G129" i="79"/>
  <c r="F129" i="79"/>
  <c r="E129" i="79"/>
  <c r="D129" i="79"/>
  <c r="C129" i="79"/>
  <c r="I128" i="79"/>
  <c r="I12" i="79"/>
  <c r="I13" i="79"/>
  <c r="J128" i="79"/>
  <c r="H128" i="79"/>
  <c r="G128" i="79"/>
  <c r="F128" i="79"/>
  <c r="E128" i="79"/>
  <c r="D128" i="79"/>
  <c r="C128" i="79"/>
  <c r="I126" i="79"/>
  <c r="J126" i="79"/>
  <c r="H126" i="79"/>
  <c r="G126" i="79"/>
  <c r="F126" i="79"/>
  <c r="E126" i="79"/>
  <c r="D126" i="79"/>
  <c r="C126" i="79"/>
  <c r="I125" i="79"/>
  <c r="J125" i="79"/>
  <c r="H125" i="79"/>
  <c r="G125" i="79"/>
  <c r="F125" i="79"/>
  <c r="E125" i="79"/>
  <c r="D125" i="79"/>
  <c r="C125" i="79"/>
  <c r="I127" i="79"/>
  <c r="J127" i="79"/>
  <c r="H127" i="79"/>
  <c r="G127" i="79"/>
  <c r="F127" i="79"/>
  <c r="E127" i="79"/>
  <c r="D127" i="79"/>
  <c r="C127" i="79"/>
  <c r="I124" i="79"/>
  <c r="J124" i="79"/>
  <c r="H124" i="79"/>
  <c r="G124" i="79"/>
  <c r="F124" i="79"/>
  <c r="E124" i="79"/>
  <c r="D124" i="79"/>
  <c r="C124" i="79"/>
  <c r="I122" i="79"/>
  <c r="J122" i="79"/>
  <c r="H122" i="79"/>
  <c r="G122" i="79"/>
  <c r="F122" i="79"/>
  <c r="E122" i="79"/>
  <c r="D122" i="79"/>
  <c r="C122" i="79"/>
  <c r="I123" i="79"/>
  <c r="J123" i="79"/>
  <c r="H123" i="79"/>
  <c r="G123" i="79"/>
  <c r="F123" i="79"/>
  <c r="E123" i="79"/>
  <c r="D123" i="79"/>
  <c r="C123" i="79"/>
  <c r="I121" i="79"/>
  <c r="J121" i="79"/>
  <c r="H121" i="79"/>
  <c r="G121" i="79"/>
  <c r="F121" i="79"/>
  <c r="E121" i="79"/>
  <c r="D121" i="79"/>
  <c r="C121" i="79"/>
  <c r="I102" i="79"/>
  <c r="J102" i="79"/>
  <c r="H102" i="79"/>
  <c r="G102" i="79"/>
  <c r="F102" i="79"/>
  <c r="E102" i="79"/>
  <c r="D102" i="79"/>
  <c r="C102" i="79"/>
  <c r="I116" i="79"/>
  <c r="J116" i="79"/>
  <c r="H116" i="79"/>
  <c r="G116" i="79"/>
  <c r="F116" i="79"/>
  <c r="E116" i="79"/>
  <c r="D116" i="79"/>
  <c r="C116" i="79"/>
  <c r="I117" i="79"/>
  <c r="J117" i="79"/>
  <c r="H117" i="79"/>
  <c r="G117" i="79"/>
  <c r="F117" i="79"/>
  <c r="E117" i="79"/>
  <c r="D117" i="79"/>
  <c r="C117" i="79"/>
  <c r="I84" i="79"/>
  <c r="J84" i="79"/>
  <c r="H84" i="79"/>
  <c r="G84" i="79"/>
  <c r="F84" i="79"/>
  <c r="E84" i="79"/>
  <c r="D84" i="79"/>
  <c r="C84" i="79"/>
  <c r="I88" i="79"/>
  <c r="J88" i="79"/>
  <c r="H88" i="79"/>
  <c r="G88" i="79"/>
  <c r="F88" i="79"/>
  <c r="E88" i="79"/>
  <c r="D88" i="79"/>
  <c r="C88" i="79"/>
  <c r="I95" i="79"/>
  <c r="J95" i="79"/>
  <c r="H95" i="79"/>
  <c r="G95" i="79"/>
  <c r="F95" i="79"/>
  <c r="E95" i="79"/>
  <c r="D95" i="79"/>
  <c r="C95" i="79"/>
  <c r="I108" i="79"/>
  <c r="J108" i="79"/>
  <c r="H108" i="79"/>
  <c r="G108" i="79"/>
  <c r="F108" i="79"/>
  <c r="E108" i="79"/>
  <c r="D108" i="79"/>
  <c r="C108" i="79"/>
  <c r="I92" i="79"/>
  <c r="J92" i="79"/>
  <c r="H92" i="79"/>
  <c r="G92" i="79"/>
  <c r="F92" i="79"/>
  <c r="E92" i="79"/>
  <c r="D92" i="79"/>
  <c r="C92" i="79"/>
  <c r="I111" i="79"/>
  <c r="J111" i="79"/>
  <c r="H111" i="79"/>
  <c r="G111" i="79"/>
  <c r="F111" i="79"/>
  <c r="E111" i="79"/>
  <c r="D111" i="79"/>
  <c r="C111" i="79"/>
  <c r="I110" i="79"/>
  <c r="J110" i="79"/>
  <c r="H110" i="79"/>
  <c r="G110" i="79"/>
  <c r="F110" i="79"/>
  <c r="E110" i="79"/>
  <c r="D110" i="79"/>
  <c r="C110" i="79"/>
  <c r="I70" i="79"/>
  <c r="J70" i="79"/>
  <c r="H70" i="79"/>
  <c r="G70" i="79"/>
  <c r="F70" i="79"/>
  <c r="E70" i="79"/>
  <c r="D70" i="79"/>
  <c r="C70" i="79"/>
  <c r="I67" i="79"/>
  <c r="J67" i="79"/>
  <c r="H67" i="79"/>
  <c r="G67" i="79"/>
  <c r="F67" i="79"/>
  <c r="E67" i="79"/>
  <c r="D67" i="79"/>
  <c r="C67" i="79"/>
  <c r="I74" i="79"/>
  <c r="J74" i="79"/>
  <c r="H74" i="79"/>
  <c r="G74" i="79"/>
  <c r="F74" i="79"/>
  <c r="E74" i="79"/>
  <c r="D74" i="79"/>
  <c r="C74" i="79"/>
  <c r="I54" i="79"/>
  <c r="J54" i="79"/>
  <c r="H54" i="79"/>
  <c r="G54" i="79"/>
  <c r="F54" i="79"/>
  <c r="E54" i="79"/>
  <c r="D54" i="79"/>
  <c r="C54" i="79"/>
  <c r="I112" i="79"/>
  <c r="J112" i="79"/>
  <c r="H112" i="79"/>
  <c r="G112" i="79"/>
  <c r="F112" i="79"/>
  <c r="E112" i="79"/>
  <c r="D112" i="79"/>
  <c r="C112" i="79"/>
  <c r="I113" i="79"/>
  <c r="J113" i="79"/>
  <c r="H113" i="79"/>
  <c r="G113" i="79"/>
  <c r="F113" i="79"/>
  <c r="E113" i="79"/>
  <c r="D113" i="79"/>
  <c r="C113" i="79"/>
  <c r="I61" i="79"/>
  <c r="J61" i="79"/>
  <c r="H61" i="79"/>
  <c r="G61" i="79"/>
  <c r="F61" i="79"/>
  <c r="E61" i="79"/>
  <c r="D61" i="79"/>
  <c r="C61" i="79"/>
  <c r="I104" i="79"/>
  <c r="J104" i="79"/>
  <c r="H104" i="79"/>
  <c r="G104" i="79"/>
  <c r="F104" i="79"/>
  <c r="E104" i="79"/>
  <c r="D104" i="79"/>
  <c r="C104" i="79"/>
  <c r="I50" i="79"/>
  <c r="J50" i="79"/>
  <c r="H50" i="79"/>
  <c r="G50" i="79"/>
  <c r="F50" i="79"/>
  <c r="E50" i="79"/>
  <c r="D50" i="79"/>
  <c r="C50" i="79"/>
  <c r="I83" i="79"/>
  <c r="J83" i="79"/>
  <c r="H83" i="79"/>
  <c r="G83" i="79"/>
  <c r="F83" i="79"/>
  <c r="E83" i="79"/>
  <c r="D83" i="79"/>
  <c r="C83" i="79"/>
  <c r="I91" i="79"/>
  <c r="J91" i="79"/>
  <c r="H91" i="79"/>
  <c r="G91" i="79"/>
  <c r="F91" i="79"/>
  <c r="E91" i="79"/>
  <c r="D91" i="79"/>
  <c r="C91" i="79"/>
  <c r="I98" i="79"/>
  <c r="J98" i="79"/>
  <c r="H98" i="79"/>
  <c r="G98" i="79"/>
  <c r="F98" i="79"/>
  <c r="E98" i="79"/>
  <c r="D98" i="79"/>
  <c r="C98" i="79"/>
  <c r="I106" i="79"/>
  <c r="J106" i="79"/>
  <c r="H106" i="79"/>
  <c r="G106" i="79"/>
  <c r="F106" i="79"/>
  <c r="E106" i="79"/>
  <c r="D106" i="79"/>
  <c r="C106" i="79"/>
  <c r="I56" i="79"/>
  <c r="J56" i="79"/>
  <c r="H56" i="79"/>
  <c r="G56" i="79"/>
  <c r="F56" i="79"/>
  <c r="E56" i="79"/>
  <c r="D56" i="79"/>
  <c r="C56" i="79"/>
  <c r="H130" i="79"/>
  <c r="G130" i="79"/>
  <c r="F130" i="79"/>
  <c r="E130" i="79"/>
  <c r="D130" i="79"/>
  <c r="C130" i="79"/>
  <c r="I81" i="79"/>
  <c r="J81" i="79"/>
  <c r="H81" i="79"/>
  <c r="G81" i="79"/>
  <c r="F81" i="79"/>
  <c r="E81" i="79"/>
  <c r="D81" i="79"/>
  <c r="C81" i="79"/>
  <c r="I114" i="79"/>
  <c r="J114" i="79"/>
  <c r="H114" i="79"/>
  <c r="G114" i="79"/>
  <c r="F114" i="79"/>
  <c r="E114" i="79"/>
  <c r="D114" i="79"/>
  <c r="C114" i="79"/>
  <c r="I109" i="79"/>
  <c r="J109" i="79"/>
  <c r="H109" i="79"/>
  <c r="G109" i="79"/>
  <c r="F109" i="79"/>
  <c r="E109" i="79"/>
  <c r="D109" i="79"/>
  <c r="C109" i="79"/>
  <c r="I68" i="79"/>
  <c r="J68" i="79"/>
  <c r="H68" i="79"/>
  <c r="G68" i="79"/>
  <c r="F68" i="79"/>
  <c r="E68" i="79"/>
  <c r="D68" i="79"/>
  <c r="C68" i="79"/>
  <c r="I66" i="79"/>
  <c r="J66" i="79"/>
  <c r="H66" i="79"/>
  <c r="G66" i="79"/>
  <c r="F66" i="79"/>
  <c r="E66" i="79"/>
  <c r="D66" i="79"/>
  <c r="C66" i="79"/>
  <c r="I59" i="79"/>
  <c r="J59" i="79"/>
  <c r="H59" i="79"/>
  <c r="G59" i="79"/>
  <c r="F59" i="79"/>
  <c r="E59" i="79"/>
  <c r="D59" i="79"/>
  <c r="C59" i="79"/>
  <c r="I119" i="79"/>
  <c r="J119" i="79"/>
  <c r="H119" i="79"/>
  <c r="G119" i="79"/>
  <c r="F119" i="79"/>
  <c r="E119" i="79"/>
  <c r="D119" i="79"/>
  <c r="C119" i="79"/>
  <c r="I115" i="79"/>
  <c r="J115" i="79"/>
  <c r="H115" i="79"/>
  <c r="G115" i="79"/>
  <c r="F115" i="79"/>
  <c r="E115" i="79"/>
  <c r="D115" i="79"/>
  <c r="C115" i="79"/>
  <c r="I25" i="79"/>
  <c r="J25" i="79"/>
  <c r="H25" i="79"/>
  <c r="G25" i="79"/>
  <c r="F25" i="79"/>
  <c r="E25" i="79"/>
  <c r="D25" i="79"/>
  <c r="C25" i="79"/>
  <c r="I93" i="79"/>
  <c r="J93" i="79"/>
  <c r="H93" i="79"/>
  <c r="G93" i="79"/>
  <c r="F93" i="79"/>
  <c r="E93" i="79"/>
  <c r="D93" i="79"/>
  <c r="C93" i="79"/>
  <c r="I86" i="79"/>
  <c r="J86" i="79"/>
  <c r="H86" i="79"/>
  <c r="G86" i="79"/>
  <c r="F86" i="79"/>
  <c r="E86" i="79"/>
  <c r="D86" i="79"/>
  <c r="C86" i="79"/>
  <c r="I51" i="79"/>
  <c r="J51" i="79"/>
  <c r="H51" i="79"/>
  <c r="G51" i="79"/>
  <c r="F51" i="79"/>
  <c r="E51" i="79"/>
  <c r="D51" i="79"/>
  <c r="C51" i="79"/>
  <c r="I64" i="79"/>
  <c r="J64" i="79"/>
  <c r="H64" i="79"/>
  <c r="G64" i="79"/>
  <c r="F64" i="79"/>
  <c r="E64" i="79"/>
  <c r="D64" i="79"/>
  <c r="C64" i="79"/>
  <c r="I44" i="79"/>
  <c r="J44" i="79"/>
  <c r="H44" i="79"/>
  <c r="G44" i="79"/>
  <c r="F44" i="79"/>
  <c r="E44" i="79"/>
  <c r="D44" i="79"/>
  <c r="C44" i="79"/>
  <c r="I34" i="79"/>
  <c r="J34" i="79"/>
  <c r="H34" i="79"/>
  <c r="G34" i="79"/>
  <c r="F34" i="79"/>
  <c r="E34" i="79"/>
  <c r="D34" i="79"/>
  <c r="C34" i="79"/>
  <c r="I28" i="79"/>
  <c r="J28" i="79"/>
  <c r="H28" i="79"/>
  <c r="G28" i="79"/>
  <c r="F28" i="79"/>
  <c r="E28" i="79"/>
  <c r="D28" i="79"/>
  <c r="C28" i="79"/>
  <c r="I37" i="79"/>
  <c r="J37" i="79"/>
  <c r="H37" i="79"/>
  <c r="G37" i="79"/>
  <c r="F37" i="79"/>
  <c r="E37" i="79"/>
  <c r="D37" i="79"/>
  <c r="C37" i="79"/>
  <c r="I35" i="79"/>
  <c r="J35" i="79"/>
  <c r="H35" i="79"/>
  <c r="G35" i="79"/>
  <c r="F35" i="79"/>
  <c r="E35" i="79"/>
  <c r="D35" i="79"/>
  <c r="C35" i="79"/>
  <c r="I39" i="79"/>
  <c r="J39" i="79"/>
  <c r="H39" i="79"/>
  <c r="G39" i="79"/>
  <c r="F39" i="79"/>
  <c r="E39" i="79"/>
  <c r="D39" i="79"/>
  <c r="C39" i="79"/>
  <c r="I107" i="79"/>
  <c r="J107" i="79"/>
  <c r="H107" i="79"/>
  <c r="G107" i="79"/>
  <c r="F107" i="79"/>
  <c r="E107" i="79"/>
  <c r="D107" i="79"/>
  <c r="C107" i="79"/>
  <c r="I26" i="79"/>
  <c r="J26" i="79"/>
  <c r="H26" i="79"/>
  <c r="G26" i="79"/>
  <c r="F26" i="79"/>
  <c r="E26" i="79"/>
  <c r="D26" i="79"/>
  <c r="C26" i="79"/>
  <c r="I24" i="79"/>
  <c r="J24" i="79"/>
  <c r="H24" i="79"/>
  <c r="G24" i="79"/>
  <c r="F24" i="79"/>
  <c r="E24" i="79"/>
  <c r="D24" i="79"/>
  <c r="C24" i="79"/>
  <c r="I105" i="79"/>
  <c r="J105" i="79"/>
  <c r="H105" i="79"/>
  <c r="G105" i="79"/>
  <c r="F105" i="79"/>
  <c r="E105" i="79"/>
  <c r="D105" i="79"/>
  <c r="C105" i="79"/>
  <c r="I82" i="79"/>
  <c r="J82" i="79"/>
  <c r="H82" i="79"/>
  <c r="G82" i="79"/>
  <c r="F82" i="79"/>
  <c r="E82" i="79"/>
  <c r="D82" i="79"/>
  <c r="C82" i="79"/>
  <c r="I47" i="79"/>
  <c r="J47" i="79"/>
  <c r="H47" i="79"/>
  <c r="G47" i="79"/>
  <c r="F47" i="79"/>
  <c r="E47" i="79"/>
  <c r="D47" i="79"/>
  <c r="C47" i="79"/>
  <c r="I120" i="79"/>
  <c r="J120" i="79"/>
  <c r="H120" i="79"/>
  <c r="G120" i="79"/>
  <c r="F120" i="79"/>
  <c r="E120" i="79"/>
  <c r="D120" i="79"/>
  <c r="C120" i="79"/>
  <c r="I103" i="79"/>
  <c r="J103" i="79"/>
  <c r="H103" i="79"/>
  <c r="G103" i="79"/>
  <c r="F103" i="79"/>
  <c r="E103" i="79"/>
  <c r="D103" i="79"/>
  <c r="C103" i="79"/>
  <c r="I94" i="79"/>
  <c r="J94" i="79"/>
  <c r="H94" i="79"/>
  <c r="G94" i="79"/>
  <c r="F94" i="79"/>
  <c r="E94" i="79"/>
  <c r="D94" i="79"/>
  <c r="C94" i="79"/>
  <c r="I97" i="79"/>
  <c r="J97" i="79"/>
  <c r="H97" i="79"/>
  <c r="G97" i="79"/>
  <c r="F97" i="79"/>
  <c r="E97" i="79"/>
  <c r="D97" i="79"/>
  <c r="C97" i="79"/>
  <c r="I42" i="79"/>
  <c r="J42" i="79"/>
  <c r="H42" i="79"/>
  <c r="G42" i="79"/>
  <c r="F42" i="79"/>
  <c r="E42" i="79"/>
  <c r="D42" i="79"/>
  <c r="C42" i="79"/>
  <c r="I45" i="79"/>
  <c r="J45" i="79"/>
  <c r="H45" i="79"/>
  <c r="G45" i="79"/>
  <c r="F45" i="79"/>
  <c r="E45" i="79"/>
  <c r="D45" i="79"/>
  <c r="C45" i="79"/>
  <c r="I21" i="79"/>
  <c r="J21" i="79"/>
  <c r="H21" i="79"/>
  <c r="G21" i="79"/>
  <c r="F21" i="79"/>
  <c r="E21" i="79"/>
  <c r="D21" i="79"/>
  <c r="C21" i="79"/>
  <c r="I80" i="79"/>
  <c r="J80" i="79"/>
  <c r="H80" i="79"/>
  <c r="G80" i="79"/>
  <c r="F80" i="79"/>
  <c r="E80" i="79"/>
  <c r="D80" i="79"/>
  <c r="C80" i="79"/>
  <c r="I89" i="79"/>
  <c r="J89" i="79"/>
  <c r="H89" i="79"/>
  <c r="G89" i="79"/>
  <c r="F89" i="79"/>
  <c r="E89" i="79"/>
  <c r="D89" i="79"/>
  <c r="C89" i="79"/>
  <c r="I38" i="79"/>
  <c r="J38" i="79"/>
  <c r="H38" i="79"/>
  <c r="G38" i="79"/>
  <c r="F38" i="79"/>
  <c r="E38" i="79"/>
  <c r="D38" i="79"/>
  <c r="C38" i="79"/>
  <c r="I100" i="79"/>
  <c r="J100" i="79"/>
  <c r="H100" i="79"/>
  <c r="G100" i="79"/>
  <c r="F100" i="79"/>
  <c r="E100" i="79"/>
  <c r="D100" i="79"/>
  <c r="C100" i="79"/>
  <c r="I18" i="79"/>
  <c r="J18" i="79"/>
  <c r="H18" i="79"/>
  <c r="G18" i="79"/>
  <c r="F18" i="79"/>
  <c r="E18" i="79"/>
  <c r="D18" i="79"/>
  <c r="C18" i="79"/>
  <c r="I99" i="79"/>
  <c r="J99" i="79"/>
  <c r="H99" i="79"/>
  <c r="G99" i="79"/>
  <c r="F99" i="79"/>
  <c r="E99" i="79"/>
  <c r="D99" i="79"/>
  <c r="C99" i="79"/>
  <c r="I46" i="79"/>
  <c r="J46" i="79"/>
  <c r="H46" i="79"/>
  <c r="G46" i="79"/>
  <c r="F46" i="79"/>
  <c r="E46" i="79"/>
  <c r="D46" i="79"/>
  <c r="C46" i="79"/>
  <c r="I90" i="79"/>
  <c r="J90" i="79"/>
  <c r="H90" i="79"/>
  <c r="G90" i="79"/>
  <c r="F90" i="79"/>
  <c r="E90" i="79"/>
  <c r="D90" i="79"/>
  <c r="C90" i="79"/>
  <c r="I40" i="79"/>
  <c r="J40" i="79"/>
  <c r="H40" i="79"/>
  <c r="G40" i="79"/>
  <c r="F40" i="79"/>
  <c r="E40" i="79"/>
  <c r="D40" i="79"/>
  <c r="C40" i="79"/>
  <c r="I19" i="79"/>
  <c r="J19" i="79"/>
  <c r="H19" i="79"/>
  <c r="G19" i="79"/>
  <c r="F19" i="79"/>
  <c r="E19" i="79"/>
  <c r="D19" i="79"/>
  <c r="C19" i="79"/>
  <c r="I76" i="79"/>
  <c r="J76" i="79"/>
  <c r="H76" i="79"/>
  <c r="G76" i="79"/>
  <c r="F76" i="79"/>
  <c r="E76" i="79"/>
  <c r="D76" i="79"/>
  <c r="C76" i="79"/>
  <c r="I78" i="79"/>
  <c r="J78" i="79"/>
  <c r="H78" i="79"/>
  <c r="G78" i="79"/>
  <c r="F78" i="79"/>
  <c r="E78" i="79"/>
  <c r="D78" i="79"/>
  <c r="C78" i="79"/>
  <c r="I27" i="79"/>
  <c r="J27" i="79"/>
  <c r="H27" i="79"/>
  <c r="G27" i="79"/>
  <c r="F27" i="79"/>
  <c r="E27" i="79"/>
  <c r="D27" i="79"/>
  <c r="C27" i="79"/>
  <c r="I52" i="79"/>
  <c r="J52" i="79"/>
  <c r="H52" i="79"/>
  <c r="G52" i="79"/>
  <c r="F52" i="79"/>
  <c r="E52" i="79"/>
  <c r="D52" i="79"/>
  <c r="C52" i="79"/>
  <c r="I49" i="79"/>
  <c r="J49" i="79"/>
  <c r="H49" i="79"/>
  <c r="G49" i="79"/>
  <c r="F49" i="79"/>
  <c r="E49" i="79"/>
  <c r="D49" i="79"/>
  <c r="C49" i="79"/>
  <c r="I87" i="79"/>
  <c r="J87" i="79"/>
  <c r="H87" i="79"/>
  <c r="G87" i="79"/>
  <c r="F87" i="79"/>
  <c r="E87" i="79"/>
  <c r="D87" i="79"/>
  <c r="C87" i="79"/>
  <c r="I73" i="79"/>
  <c r="J73" i="79"/>
  <c r="H73" i="79"/>
  <c r="G73" i="79"/>
  <c r="F73" i="79"/>
  <c r="E73" i="79"/>
  <c r="D73" i="79"/>
  <c r="C73" i="79"/>
  <c r="I58" i="79"/>
  <c r="J58" i="79"/>
  <c r="H58" i="79"/>
  <c r="G58" i="79"/>
  <c r="F58" i="79"/>
  <c r="E58" i="79"/>
  <c r="D58" i="79"/>
  <c r="C58" i="79"/>
  <c r="I31" i="79"/>
  <c r="J31" i="79"/>
  <c r="H31" i="79"/>
  <c r="G31" i="79"/>
  <c r="F31" i="79"/>
  <c r="E31" i="79"/>
  <c r="D31" i="79"/>
  <c r="C31" i="79"/>
  <c r="I75" i="79"/>
  <c r="J75" i="79"/>
  <c r="H75" i="79"/>
  <c r="G75" i="79"/>
  <c r="F75" i="79"/>
  <c r="E75" i="79"/>
  <c r="D75" i="79"/>
  <c r="C75" i="79"/>
  <c r="I71" i="79"/>
  <c r="J71" i="79"/>
  <c r="H71" i="79"/>
  <c r="G71" i="79"/>
  <c r="F71" i="79"/>
  <c r="E71" i="79"/>
  <c r="D71" i="79"/>
  <c r="C71" i="79"/>
  <c r="I60" i="79"/>
  <c r="J60" i="79"/>
  <c r="H60" i="79"/>
  <c r="G60" i="79"/>
  <c r="F60" i="79"/>
  <c r="E60" i="79"/>
  <c r="D60" i="79"/>
  <c r="C60" i="79"/>
  <c r="I57" i="79"/>
  <c r="J57" i="79"/>
  <c r="H57" i="79"/>
  <c r="G57" i="79"/>
  <c r="F57" i="79"/>
  <c r="E57" i="79"/>
  <c r="D57" i="79"/>
  <c r="C57" i="79"/>
  <c r="I29" i="79"/>
  <c r="J29" i="79"/>
  <c r="H29" i="79"/>
  <c r="G29" i="79"/>
  <c r="F29" i="79"/>
  <c r="E29" i="79"/>
  <c r="D29" i="79"/>
  <c r="C29" i="79"/>
  <c r="I23" i="79"/>
  <c r="J23" i="79"/>
  <c r="H23" i="79"/>
  <c r="G23" i="79"/>
  <c r="F23" i="79"/>
  <c r="E23" i="79"/>
  <c r="D23" i="79"/>
  <c r="C23" i="79"/>
  <c r="I85" i="79"/>
  <c r="J85" i="79"/>
  <c r="H85" i="79"/>
  <c r="G85" i="79"/>
  <c r="F85" i="79"/>
  <c r="E85" i="79"/>
  <c r="D85" i="79"/>
  <c r="C85" i="79"/>
  <c r="I32" i="79"/>
  <c r="J32" i="79"/>
  <c r="H32" i="79"/>
  <c r="G32" i="79"/>
  <c r="F32" i="79"/>
  <c r="E32" i="79"/>
  <c r="D32" i="79"/>
  <c r="C32" i="79"/>
  <c r="I65" i="79"/>
  <c r="J65" i="79"/>
  <c r="H65" i="79"/>
  <c r="G65" i="79"/>
  <c r="F65" i="79"/>
  <c r="E65" i="79"/>
  <c r="D65" i="79"/>
  <c r="C65" i="79"/>
  <c r="I53" i="79"/>
  <c r="J53" i="79"/>
  <c r="H53" i="79"/>
  <c r="G53" i="79"/>
  <c r="F53" i="79"/>
  <c r="E53" i="79"/>
  <c r="D53" i="79"/>
  <c r="C53" i="79"/>
  <c r="I30" i="79"/>
  <c r="J30" i="79"/>
  <c r="H30" i="79"/>
  <c r="G30" i="79"/>
  <c r="F30" i="79"/>
  <c r="E30" i="79"/>
  <c r="D30" i="79"/>
  <c r="C30" i="79"/>
  <c r="I79" i="79"/>
  <c r="J79" i="79"/>
  <c r="H79" i="79"/>
  <c r="G79" i="79"/>
  <c r="F79" i="79"/>
  <c r="E79" i="79"/>
  <c r="D79" i="79"/>
  <c r="C79" i="79"/>
  <c r="I33" i="79"/>
  <c r="J33" i="79"/>
  <c r="H33" i="79"/>
  <c r="G33" i="79"/>
  <c r="F33" i="79"/>
  <c r="E33" i="79"/>
  <c r="D33" i="79"/>
  <c r="C33" i="79"/>
  <c r="I43" i="79"/>
  <c r="J43" i="79"/>
  <c r="H43" i="79"/>
  <c r="G43" i="79"/>
  <c r="F43" i="79"/>
  <c r="E43" i="79"/>
  <c r="D43" i="79"/>
  <c r="C43" i="79"/>
  <c r="I69" i="79"/>
  <c r="J69" i="79"/>
  <c r="H69" i="79"/>
  <c r="G69" i="79"/>
  <c r="F69" i="79"/>
  <c r="E69" i="79"/>
  <c r="D69" i="79"/>
  <c r="C69" i="79"/>
  <c r="I77" i="79"/>
  <c r="J77" i="79"/>
  <c r="H77" i="79"/>
  <c r="G77" i="79"/>
  <c r="F77" i="79"/>
  <c r="E77" i="79"/>
  <c r="D77" i="79"/>
  <c r="C77" i="79"/>
  <c r="I22" i="79"/>
  <c r="J22" i="79"/>
  <c r="H22" i="79"/>
  <c r="G22" i="79"/>
  <c r="F22" i="79"/>
  <c r="E22" i="79"/>
  <c r="D22" i="79"/>
  <c r="C22" i="79"/>
  <c r="I41" i="79"/>
  <c r="J41" i="79"/>
  <c r="H41" i="79"/>
  <c r="G41" i="79"/>
  <c r="F41" i="79"/>
  <c r="E41" i="79"/>
  <c r="D41" i="79"/>
  <c r="C41" i="79"/>
  <c r="I62" i="79"/>
  <c r="J62" i="79"/>
  <c r="H62" i="79"/>
  <c r="G62" i="79"/>
  <c r="F62" i="79"/>
  <c r="E62" i="79"/>
  <c r="D62" i="79"/>
  <c r="C62" i="79"/>
  <c r="I96" i="79"/>
  <c r="J96" i="79"/>
  <c r="H96" i="79"/>
  <c r="G96" i="79"/>
  <c r="F96" i="79"/>
  <c r="E96" i="79"/>
  <c r="D96" i="79"/>
  <c r="C96" i="79"/>
  <c r="I17" i="79"/>
  <c r="J17" i="79"/>
  <c r="H17" i="79"/>
  <c r="G17" i="79"/>
  <c r="F17" i="79"/>
  <c r="E17" i="79"/>
  <c r="D17" i="79"/>
  <c r="C17" i="79"/>
  <c r="I15" i="79"/>
  <c r="J15" i="79"/>
  <c r="H15" i="79"/>
  <c r="G15" i="79"/>
  <c r="F15" i="79"/>
  <c r="E15" i="79"/>
  <c r="D15" i="79"/>
  <c r="C15" i="79"/>
  <c r="I118" i="79"/>
  <c r="J118" i="79"/>
  <c r="H118" i="79"/>
  <c r="G118" i="79"/>
  <c r="F118" i="79"/>
  <c r="E118" i="79"/>
  <c r="D118" i="79"/>
  <c r="C118" i="79"/>
  <c r="I101" i="79"/>
  <c r="J101" i="79"/>
  <c r="H101" i="79"/>
  <c r="G101" i="79"/>
  <c r="F101" i="79"/>
  <c r="E101" i="79"/>
  <c r="D101" i="79"/>
  <c r="C101" i="79"/>
  <c r="I72" i="79"/>
  <c r="J72" i="79"/>
  <c r="H72" i="79"/>
  <c r="G72" i="79"/>
  <c r="F72" i="79"/>
  <c r="E72" i="79"/>
  <c r="D72" i="79"/>
  <c r="C72" i="79"/>
  <c r="I55" i="79"/>
  <c r="J55" i="79"/>
  <c r="H55" i="79"/>
  <c r="G55" i="79"/>
  <c r="F55" i="79"/>
  <c r="E55" i="79"/>
  <c r="D55" i="79"/>
  <c r="C55" i="79"/>
  <c r="I14" i="79"/>
  <c r="J14" i="79"/>
  <c r="H14" i="79"/>
  <c r="G14" i="79"/>
  <c r="F14" i="79"/>
  <c r="E14" i="79"/>
  <c r="D14" i="79"/>
  <c r="C14" i="79"/>
  <c r="I48" i="79"/>
  <c r="J48" i="79"/>
  <c r="H48" i="79"/>
  <c r="G48" i="79"/>
  <c r="F48" i="79"/>
  <c r="E48" i="79"/>
  <c r="D48" i="79"/>
  <c r="C48" i="79"/>
  <c r="I63" i="79"/>
  <c r="J63" i="79"/>
  <c r="H63" i="79"/>
  <c r="G63" i="79"/>
  <c r="F63" i="79"/>
  <c r="E63" i="79"/>
  <c r="D63" i="79"/>
  <c r="C63" i="79"/>
  <c r="I20" i="79"/>
  <c r="J20" i="79"/>
  <c r="H20" i="79"/>
  <c r="G20" i="79"/>
  <c r="F20" i="79"/>
  <c r="E20" i="79"/>
  <c r="D20" i="79"/>
  <c r="C20" i="79"/>
  <c r="I36" i="79"/>
  <c r="J36" i="79"/>
  <c r="H36" i="79"/>
  <c r="G36" i="79"/>
  <c r="F36" i="79"/>
  <c r="E36" i="79"/>
  <c r="D36" i="79"/>
  <c r="C36" i="79"/>
  <c r="I16" i="79"/>
  <c r="J16" i="79"/>
  <c r="H16" i="79"/>
  <c r="G16" i="79"/>
  <c r="F16" i="79"/>
  <c r="E16" i="79"/>
  <c r="D16" i="79"/>
  <c r="C16" i="79"/>
  <c r="J13" i="79"/>
  <c r="H13" i="79"/>
  <c r="G13" i="79"/>
  <c r="F13" i="79"/>
  <c r="E13" i="79"/>
  <c r="D13" i="79"/>
  <c r="C13" i="79"/>
  <c r="J12" i="79"/>
  <c r="H12" i="79"/>
  <c r="G12" i="79"/>
  <c r="F12" i="79"/>
  <c r="E12" i="79"/>
  <c r="D12" i="79"/>
  <c r="C12" i="79"/>
  <c r="K4" i="79"/>
  <c r="A2" i="79"/>
  <c r="A1" i="79"/>
  <c r="W70" i="78"/>
  <c r="U70" i="78"/>
  <c r="S70" i="78"/>
  <c r="E70" i="78"/>
  <c r="D70" i="78"/>
  <c r="C70" i="78"/>
  <c r="W69" i="78"/>
  <c r="U69" i="78"/>
  <c r="S69" i="78"/>
  <c r="E69" i="78"/>
  <c r="D69" i="78"/>
  <c r="C69" i="78"/>
  <c r="W68" i="78"/>
  <c r="U68" i="78"/>
  <c r="S68" i="78"/>
  <c r="E68" i="78"/>
  <c r="D68" i="78"/>
  <c r="C68" i="78"/>
  <c r="W67" i="78"/>
  <c r="U67" i="78"/>
  <c r="S67" i="78"/>
  <c r="E67" i="78"/>
  <c r="D67" i="78"/>
  <c r="C67" i="78"/>
  <c r="W66" i="78"/>
  <c r="U66" i="78"/>
  <c r="S66" i="78"/>
  <c r="E66" i="78"/>
  <c r="D66" i="78"/>
  <c r="C66" i="78"/>
  <c r="W65" i="78"/>
  <c r="U65" i="78"/>
  <c r="S65" i="78"/>
  <c r="E65" i="78"/>
  <c r="D65" i="78"/>
  <c r="C65" i="78"/>
  <c r="W64" i="78"/>
  <c r="U64" i="78"/>
  <c r="S64" i="78"/>
  <c r="E64" i="78"/>
  <c r="D64" i="78"/>
  <c r="C64" i="78"/>
  <c r="W63" i="78"/>
  <c r="U63" i="78"/>
  <c r="S63" i="78"/>
  <c r="E63" i="78"/>
  <c r="D63" i="78"/>
  <c r="C63" i="78"/>
  <c r="W62" i="78"/>
  <c r="U62" i="78"/>
  <c r="S62" i="78"/>
  <c r="E62" i="78"/>
  <c r="D62" i="78"/>
  <c r="C62" i="78"/>
  <c r="W61" i="78"/>
  <c r="U61" i="78"/>
  <c r="S61" i="78"/>
  <c r="E61" i="78"/>
  <c r="D61" i="78"/>
  <c r="C61" i="78"/>
  <c r="W60" i="78"/>
  <c r="U60" i="78"/>
  <c r="S60" i="78"/>
  <c r="E60" i="78"/>
  <c r="D60" i="78"/>
  <c r="C60" i="78"/>
  <c r="W59" i="78"/>
  <c r="U59" i="78"/>
  <c r="S59" i="78"/>
  <c r="E59" i="78"/>
  <c r="D59" i="78"/>
  <c r="C59" i="78"/>
  <c r="W58" i="78"/>
  <c r="U58" i="78"/>
  <c r="S58" i="78"/>
  <c r="E58" i="78"/>
  <c r="D58" i="78"/>
  <c r="C58" i="78"/>
  <c r="W57" i="78"/>
  <c r="U57" i="78"/>
  <c r="S57" i="78"/>
  <c r="E57" i="78"/>
  <c r="D57" i="78"/>
  <c r="C57" i="78"/>
  <c r="W56" i="78"/>
  <c r="U56" i="78"/>
  <c r="S56" i="78"/>
  <c r="E56" i="78"/>
  <c r="D56" i="78"/>
  <c r="C56" i="78"/>
  <c r="W55" i="78"/>
  <c r="U55" i="78"/>
  <c r="S55" i="78"/>
  <c r="E55" i="78"/>
  <c r="D55" i="78"/>
  <c r="C55" i="78"/>
  <c r="W54" i="78"/>
  <c r="U54" i="78"/>
  <c r="S54" i="78"/>
  <c r="E54" i="78"/>
  <c r="D54" i="78"/>
  <c r="C54" i="78"/>
  <c r="W53" i="78"/>
  <c r="U53" i="78"/>
  <c r="S53" i="78"/>
  <c r="E53" i="78"/>
  <c r="D53" i="78"/>
  <c r="C53" i="78"/>
  <c r="W52" i="78"/>
  <c r="U52" i="78"/>
  <c r="S52" i="78"/>
  <c r="E52" i="78"/>
  <c r="D52" i="78"/>
  <c r="C52" i="78"/>
  <c r="W47" i="78"/>
  <c r="V47" i="78"/>
  <c r="U47" i="78"/>
  <c r="S47" i="78"/>
  <c r="E47" i="78"/>
  <c r="D47" i="78"/>
  <c r="C47" i="78"/>
  <c r="W46" i="78"/>
  <c r="V46" i="78"/>
  <c r="U46" i="78"/>
  <c r="S46" i="78"/>
  <c r="E46" i="78"/>
  <c r="D46" i="78"/>
  <c r="C46" i="78"/>
  <c r="W45" i="78"/>
  <c r="V45" i="78"/>
  <c r="U45" i="78"/>
  <c r="S45" i="78"/>
  <c r="E45" i="78"/>
  <c r="D45" i="78"/>
  <c r="C45" i="78"/>
  <c r="W44" i="78"/>
  <c r="V44" i="78"/>
  <c r="U44" i="78"/>
  <c r="S44" i="78"/>
  <c r="E44" i="78"/>
  <c r="D44" i="78"/>
  <c r="C44" i="78"/>
  <c r="W43" i="78"/>
  <c r="V43" i="78"/>
  <c r="U43" i="78"/>
  <c r="S43" i="78"/>
  <c r="E43" i="78"/>
  <c r="D43" i="78"/>
  <c r="C43" i="78"/>
  <c r="W42" i="78"/>
  <c r="V42" i="78"/>
  <c r="U42" i="78"/>
  <c r="S42" i="78"/>
  <c r="E42" i="78"/>
  <c r="D42" i="78"/>
  <c r="C42" i="78"/>
  <c r="W41" i="78"/>
  <c r="V41" i="78"/>
  <c r="U41" i="78"/>
  <c r="S41" i="78"/>
  <c r="E41" i="78"/>
  <c r="D41" i="78"/>
  <c r="C41" i="78"/>
  <c r="W40" i="78"/>
  <c r="V40" i="78"/>
  <c r="U40" i="78"/>
  <c r="S40" i="78"/>
  <c r="E40" i="78"/>
  <c r="D40" i="78"/>
  <c r="C40" i="78"/>
  <c r="W39" i="78"/>
  <c r="V39" i="78"/>
  <c r="U39" i="78"/>
  <c r="S39" i="78"/>
  <c r="E39" i="78"/>
  <c r="D39" i="78"/>
  <c r="C39" i="78"/>
  <c r="W38" i="78"/>
  <c r="V38" i="78"/>
  <c r="U38" i="78"/>
  <c r="S38" i="78"/>
  <c r="E38" i="78"/>
  <c r="D38" i="78"/>
  <c r="C38" i="78"/>
  <c r="W37" i="78"/>
  <c r="V37" i="78"/>
  <c r="U37" i="78"/>
  <c r="S37" i="78"/>
  <c r="E37" i="78"/>
  <c r="D37" i="78"/>
  <c r="C37" i="78"/>
  <c r="W36" i="78"/>
  <c r="V36" i="78"/>
  <c r="U36" i="78"/>
  <c r="S36" i="78"/>
  <c r="E36" i="78"/>
  <c r="D36" i="78"/>
  <c r="C36" i="78"/>
  <c r="W35" i="78"/>
  <c r="V35" i="78"/>
  <c r="U35" i="78"/>
  <c r="S35" i="78"/>
  <c r="E35" i="78"/>
  <c r="D35" i="78"/>
  <c r="C35" i="78"/>
  <c r="W34" i="78"/>
  <c r="V34" i="78"/>
  <c r="U34" i="78"/>
  <c r="S34" i="78"/>
  <c r="E32" i="78"/>
  <c r="D32" i="78"/>
  <c r="C32" i="78"/>
  <c r="W33" i="78"/>
  <c r="V33" i="78"/>
  <c r="U33" i="78"/>
  <c r="S33" i="78"/>
  <c r="E27" i="78"/>
  <c r="D27" i="78"/>
  <c r="C27" i="78"/>
  <c r="W32" i="78"/>
  <c r="V32" i="78"/>
  <c r="U32" i="78"/>
  <c r="S31" i="78"/>
  <c r="E25" i="78"/>
  <c r="D25" i="78"/>
  <c r="C25" i="78"/>
  <c r="W31" i="78"/>
  <c r="V31" i="78"/>
  <c r="U31" i="78"/>
  <c r="S30" i="78"/>
  <c r="E23" i="78"/>
  <c r="D23" i="78"/>
  <c r="C23" i="78"/>
  <c r="W30" i="78"/>
  <c r="V30" i="78"/>
  <c r="U30" i="78"/>
  <c r="S29" i="78"/>
  <c r="E34" i="78"/>
  <c r="D34" i="78"/>
  <c r="C34" i="78"/>
  <c r="W29" i="78"/>
  <c r="V29" i="78"/>
  <c r="U29" i="78"/>
  <c r="S26" i="78"/>
  <c r="E33" i="78"/>
  <c r="D33" i="78"/>
  <c r="C33" i="78"/>
  <c r="W28" i="78"/>
  <c r="V28" i="78"/>
  <c r="U28" i="78"/>
  <c r="S22" i="78"/>
  <c r="E19" i="78"/>
  <c r="D19" i="78"/>
  <c r="C19" i="78"/>
  <c r="W27" i="78"/>
  <c r="V27" i="78"/>
  <c r="U27" i="78"/>
  <c r="S21" i="78"/>
  <c r="E28" i="78"/>
  <c r="D28" i="78"/>
  <c r="C28" i="78"/>
  <c r="AA26" i="78"/>
  <c r="W26" i="78"/>
  <c r="V26" i="78"/>
  <c r="U26" i="78"/>
  <c r="S20" i="78"/>
  <c r="E31" i="78"/>
  <c r="D31" i="78"/>
  <c r="C31" i="78"/>
  <c r="AA25" i="78"/>
  <c r="W25" i="78"/>
  <c r="V25" i="78"/>
  <c r="U25" i="78"/>
  <c r="S18" i="78"/>
  <c r="E24" i="78"/>
  <c r="D24" i="78"/>
  <c r="C24" i="78"/>
  <c r="AA24" i="78"/>
  <c r="W24" i="78"/>
  <c r="V24" i="78"/>
  <c r="U24" i="78"/>
  <c r="S17" i="78"/>
  <c r="E30" i="78"/>
  <c r="D30" i="78"/>
  <c r="C30" i="78"/>
  <c r="AA23" i="78"/>
  <c r="W23" i="78"/>
  <c r="V23" i="78"/>
  <c r="U23" i="78"/>
  <c r="S15" i="78"/>
  <c r="E29" i="78"/>
  <c r="D29" i="78"/>
  <c r="C29" i="78"/>
  <c r="AA22" i="78"/>
  <c r="W22" i="78"/>
  <c r="V22" i="78"/>
  <c r="U22" i="78"/>
  <c r="S13" i="78"/>
  <c r="E26" i="78"/>
  <c r="D26" i="78"/>
  <c r="C26" i="78"/>
  <c r="AA21" i="78"/>
  <c r="W21" i="78"/>
  <c r="V21" i="78"/>
  <c r="U21" i="78"/>
  <c r="S32" i="78"/>
  <c r="E16" i="78"/>
  <c r="D16" i="78"/>
  <c r="C16" i="78"/>
  <c r="AA20" i="78"/>
  <c r="W20" i="78"/>
  <c r="V20" i="78"/>
  <c r="U20" i="78"/>
  <c r="S28" i="78"/>
  <c r="E22" i="78"/>
  <c r="D22" i="78"/>
  <c r="C22" i="78"/>
  <c r="AA19" i="78"/>
  <c r="W19" i="78"/>
  <c r="V19" i="78"/>
  <c r="U19" i="78"/>
  <c r="S24" i="78"/>
  <c r="E14" i="78"/>
  <c r="D14" i="78"/>
  <c r="C14" i="78"/>
  <c r="AA18" i="78"/>
  <c r="W18" i="78"/>
  <c r="V18" i="78"/>
  <c r="U18" i="78"/>
  <c r="S27" i="78"/>
  <c r="E21" i="78"/>
  <c r="D21" i="78"/>
  <c r="C21" i="78"/>
  <c r="AA17" i="78"/>
  <c r="W17" i="78"/>
  <c r="V17" i="78"/>
  <c r="U17" i="78"/>
  <c r="S25" i="78"/>
  <c r="E20" i="78"/>
  <c r="D20" i="78"/>
  <c r="C20" i="78"/>
  <c r="AA16" i="78"/>
  <c r="W16" i="78"/>
  <c r="V16" i="78"/>
  <c r="U16" i="78"/>
  <c r="S23" i="78"/>
  <c r="E18" i="78"/>
  <c r="D18" i="78"/>
  <c r="C18" i="78"/>
  <c r="AA15" i="78"/>
  <c r="W15" i="78"/>
  <c r="V15" i="78"/>
  <c r="U15" i="78"/>
  <c r="S16" i="78"/>
  <c r="E17" i="78"/>
  <c r="D17" i="78"/>
  <c r="C17" i="78"/>
  <c r="AA14" i="78"/>
  <c r="W14" i="78"/>
  <c r="V14" i="78"/>
  <c r="U14" i="78"/>
  <c r="S14" i="78"/>
  <c r="E15" i="78"/>
  <c r="D15" i="78"/>
  <c r="C15" i="78"/>
  <c r="AA13" i="78"/>
  <c r="W13" i="78"/>
  <c r="V13" i="78"/>
  <c r="U13" i="78"/>
  <c r="S19" i="78"/>
  <c r="E13" i="78"/>
  <c r="D13" i="78"/>
  <c r="C13" i="78"/>
  <c r="AA12" i="78"/>
  <c r="W12" i="78"/>
  <c r="V12" i="78"/>
  <c r="U12" i="78"/>
  <c r="S12" i="78"/>
  <c r="E12" i="78"/>
  <c r="D12" i="78"/>
  <c r="C12" i="78"/>
  <c r="S4" i="78"/>
  <c r="A2" i="78"/>
  <c r="A1" i="78"/>
  <c r="I104" i="77"/>
  <c r="J104" i="77"/>
  <c r="I97" i="77"/>
  <c r="J97" i="77"/>
  <c r="I115" i="77"/>
  <c r="J115" i="77"/>
  <c r="I65" i="77"/>
  <c r="J65" i="77"/>
  <c r="I101" i="77"/>
  <c r="J101" i="77"/>
  <c r="I109" i="77"/>
  <c r="J109" i="77"/>
  <c r="I126" i="77"/>
  <c r="J126" i="77"/>
  <c r="J63" i="77"/>
  <c r="I108" i="77"/>
  <c r="J108" i="77"/>
  <c r="I123" i="77"/>
  <c r="J123" i="77"/>
  <c r="I81" i="77"/>
  <c r="J81" i="77"/>
  <c r="I87" i="77"/>
  <c r="J87" i="77"/>
  <c r="I95" i="77"/>
  <c r="J95" i="77"/>
  <c r="I113" i="77"/>
  <c r="J113" i="77"/>
  <c r="I94" i="77"/>
  <c r="J94" i="77"/>
  <c r="I118" i="77"/>
  <c r="J118" i="77"/>
  <c r="I117" i="77"/>
  <c r="J117" i="77"/>
  <c r="I72" i="77"/>
  <c r="J72" i="77"/>
  <c r="I69" i="77"/>
  <c r="J69" i="77"/>
  <c r="I76" i="77"/>
  <c r="J76" i="77"/>
  <c r="I53" i="77"/>
  <c r="J53" i="77"/>
  <c r="I119" i="77"/>
  <c r="J119" i="77"/>
  <c r="I120" i="77"/>
  <c r="J120" i="77"/>
  <c r="I61" i="77"/>
  <c r="J61" i="77"/>
  <c r="I110" i="77"/>
  <c r="J110" i="77"/>
  <c r="J49" i="77"/>
  <c r="I86" i="77"/>
  <c r="J86" i="77"/>
  <c r="I93" i="77"/>
  <c r="J93" i="77"/>
  <c r="I102" i="77"/>
  <c r="J102" i="77"/>
  <c r="I112" i="77"/>
  <c r="J112" i="77"/>
  <c r="I55" i="77"/>
  <c r="J55" i="77"/>
  <c r="I84" i="77"/>
  <c r="J84" i="77"/>
  <c r="I121" i="77"/>
  <c r="J121" i="77"/>
  <c r="I116" i="77"/>
  <c r="J116" i="77"/>
  <c r="I70" i="77"/>
  <c r="J70" i="77"/>
  <c r="I68" i="77"/>
  <c r="J68" i="77"/>
  <c r="I59" i="77"/>
  <c r="J59" i="77"/>
  <c r="I125" i="77"/>
  <c r="J125" i="77"/>
  <c r="I122" i="77"/>
  <c r="J122" i="77"/>
  <c r="J23" i="77"/>
  <c r="I96" i="77"/>
  <c r="J96" i="77"/>
  <c r="I89" i="77"/>
  <c r="J89" i="77"/>
  <c r="I50" i="77"/>
  <c r="J50" i="77"/>
  <c r="I64" i="77"/>
  <c r="J64" i="77"/>
  <c r="I43" i="77"/>
  <c r="J43" i="77"/>
  <c r="I34" i="77"/>
  <c r="J34" i="77"/>
  <c r="I27" i="77"/>
  <c r="J27" i="77"/>
  <c r="J36" i="77"/>
  <c r="I35" i="77"/>
  <c r="J35" i="77"/>
  <c r="I38" i="77"/>
  <c r="J38" i="77"/>
  <c r="I114" i="77"/>
  <c r="J114" i="77"/>
  <c r="I24" i="77"/>
  <c r="J24" i="77"/>
  <c r="I22" i="77"/>
  <c r="J22" i="77"/>
  <c r="I111" i="77"/>
  <c r="J111" i="77"/>
  <c r="I85" i="77"/>
  <c r="J85" i="77"/>
  <c r="I46" i="77"/>
  <c r="J46" i="77"/>
  <c r="I127" i="77"/>
  <c r="J127" i="77"/>
  <c r="I107" i="77"/>
  <c r="J107" i="77"/>
  <c r="I98" i="77"/>
  <c r="J98" i="77"/>
  <c r="I100" i="77"/>
  <c r="J100" i="77"/>
  <c r="I41" i="77"/>
  <c r="J41" i="77"/>
  <c r="I44" i="77"/>
  <c r="J44" i="77"/>
  <c r="I18" i="77"/>
  <c r="J18" i="77"/>
  <c r="I83" i="77"/>
  <c r="J83" i="77"/>
  <c r="I91" i="77"/>
  <c r="J91" i="77"/>
  <c r="I37" i="77"/>
  <c r="J37" i="77"/>
  <c r="I105" i="77"/>
  <c r="J105" i="77"/>
  <c r="J16" i="77"/>
  <c r="I103" i="77"/>
  <c r="J103" i="77"/>
  <c r="I45" i="77"/>
  <c r="J45" i="77"/>
  <c r="I92" i="77"/>
  <c r="J92" i="77"/>
  <c r="I39" i="77"/>
  <c r="J39" i="77"/>
  <c r="I17" i="77"/>
  <c r="J17" i="77"/>
  <c r="I78" i="77"/>
  <c r="J78" i="77"/>
  <c r="I80" i="77"/>
  <c r="J80" i="77"/>
  <c r="I26" i="77"/>
  <c r="J26" i="77"/>
  <c r="I51" i="77"/>
  <c r="J51" i="77"/>
  <c r="I47" i="77"/>
  <c r="J47" i="77"/>
  <c r="I90" i="77"/>
  <c r="J90" i="77"/>
  <c r="I75" i="77"/>
  <c r="J75" i="77"/>
  <c r="I58" i="77"/>
  <c r="J58" i="77"/>
  <c r="I31" i="77"/>
  <c r="J31" i="77"/>
  <c r="I77" i="77"/>
  <c r="J77" i="77"/>
  <c r="I73" i="77"/>
  <c r="J73" i="77"/>
  <c r="I60" i="77"/>
  <c r="J60" i="77"/>
  <c r="I57" i="77"/>
  <c r="J57" i="77"/>
  <c r="I28" i="77"/>
  <c r="J28" i="77"/>
  <c r="I21" i="77"/>
  <c r="J21" i="77"/>
  <c r="I88" i="77"/>
  <c r="J88" i="77"/>
  <c r="I32" i="77"/>
  <c r="J32" i="77"/>
  <c r="I67" i="77"/>
  <c r="J67" i="77"/>
  <c r="I52" i="77"/>
  <c r="J52" i="77"/>
  <c r="I30" i="77"/>
  <c r="J30" i="77"/>
  <c r="I82" i="77"/>
  <c r="J82" i="77"/>
  <c r="I33" i="77"/>
  <c r="J33" i="77"/>
  <c r="I42" i="77"/>
  <c r="J42" i="77"/>
  <c r="I71" i="77"/>
  <c r="J71" i="77"/>
  <c r="I79" i="77"/>
  <c r="J79" i="77"/>
  <c r="I20" i="77"/>
  <c r="J20" i="77"/>
  <c r="I40" i="77"/>
  <c r="J40" i="77"/>
  <c r="I62" i="77"/>
  <c r="J62" i="77"/>
  <c r="I99" i="77"/>
  <c r="J99" i="77"/>
  <c r="I15" i="77"/>
  <c r="J15" i="77"/>
  <c r="I14" i="77"/>
  <c r="J14" i="77"/>
  <c r="I124" i="77"/>
  <c r="J124" i="77"/>
  <c r="I106" i="77"/>
  <c r="J106" i="77"/>
  <c r="I74" i="77"/>
  <c r="J74" i="77"/>
  <c r="I56" i="77"/>
  <c r="J56" i="77"/>
  <c r="J13" i="77"/>
  <c r="I48" i="77"/>
  <c r="J48" i="77"/>
  <c r="I66" i="77"/>
  <c r="J66" i="77"/>
  <c r="I19" i="77"/>
  <c r="J19" i="77"/>
  <c r="I54" i="77"/>
  <c r="J54" i="77"/>
  <c r="I29" i="77"/>
  <c r="J29" i="77"/>
  <c r="I25" i="77"/>
  <c r="J25" i="77"/>
  <c r="J12" i="77"/>
  <c r="J128" i="77"/>
  <c r="B6" i="25"/>
  <c r="A11" i="77"/>
  <c r="B130" i="77"/>
  <c r="C104" i="77"/>
  <c r="D104" i="77"/>
  <c r="E104" i="77"/>
  <c r="F104" i="77"/>
  <c r="G104" i="77"/>
  <c r="H104" i="77"/>
  <c r="C97" i="77"/>
  <c r="D97" i="77"/>
  <c r="E97" i="77"/>
  <c r="F97" i="77"/>
  <c r="G97" i="77"/>
  <c r="H97" i="77"/>
  <c r="C115" i="77"/>
  <c r="D115" i="77"/>
  <c r="E115" i="77"/>
  <c r="F115" i="77"/>
  <c r="G115" i="77"/>
  <c r="H115" i="77"/>
  <c r="C65" i="77"/>
  <c r="D65" i="77"/>
  <c r="E65" i="77"/>
  <c r="F65" i="77"/>
  <c r="G65" i="77"/>
  <c r="H65" i="77"/>
  <c r="C101" i="77"/>
  <c r="D101" i="77"/>
  <c r="E101" i="77"/>
  <c r="F101" i="77"/>
  <c r="G101" i="77"/>
  <c r="H101" i="77"/>
  <c r="C109" i="77"/>
  <c r="D109" i="77"/>
  <c r="E109" i="77"/>
  <c r="F109" i="77"/>
  <c r="G109" i="77"/>
  <c r="H109" i="77"/>
  <c r="C126" i="77"/>
  <c r="D126" i="77"/>
  <c r="E126" i="77"/>
  <c r="F126" i="77"/>
  <c r="G126" i="77"/>
  <c r="H126" i="77"/>
  <c r="C63" i="77"/>
  <c r="D63" i="77"/>
  <c r="E63" i="77"/>
  <c r="F63" i="77"/>
  <c r="G63" i="77"/>
  <c r="H63" i="77"/>
  <c r="C108" i="77"/>
  <c r="D108" i="77"/>
  <c r="E108" i="77"/>
  <c r="F108" i="77"/>
  <c r="G108" i="77"/>
  <c r="H108" i="77"/>
  <c r="C123" i="77"/>
  <c r="D123" i="77"/>
  <c r="E123" i="77"/>
  <c r="F123" i="77"/>
  <c r="G123" i="77"/>
  <c r="H123" i="77"/>
  <c r="C81" i="77"/>
  <c r="D81" i="77"/>
  <c r="E81" i="77"/>
  <c r="F81" i="77"/>
  <c r="G81" i="77"/>
  <c r="H81" i="77"/>
  <c r="C87" i="77"/>
  <c r="D87" i="77"/>
  <c r="E87" i="77"/>
  <c r="F87" i="77"/>
  <c r="G87" i="77"/>
  <c r="H87" i="77"/>
  <c r="C95" i="77"/>
  <c r="D95" i="77"/>
  <c r="E95" i="77"/>
  <c r="F95" i="77"/>
  <c r="G95" i="77"/>
  <c r="H95" i="77"/>
  <c r="C113" i="77"/>
  <c r="D113" i="77"/>
  <c r="E113" i="77"/>
  <c r="F113" i="77"/>
  <c r="G113" i="77"/>
  <c r="H113" i="77"/>
  <c r="C94" i="77"/>
  <c r="D94" i="77"/>
  <c r="E94" i="77"/>
  <c r="F94" i="77"/>
  <c r="G94" i="77"/>
  <c r="H94" i="77"/>
  <c r="C118" i="77"/>
  <c r="D118" i="77"/>
  <c r="E118" i="77"/>
  <c r="F118" i="77"/>
  <c r="G118" i="77"/>
  <c r="H118" i="77"/>
  <c r="C117" i="77"/>
  <c r="D117" i="77"/>
  <c r="E117" i="77"/>
  <c r="F117" i="77"/>
  <c r="G117" i="77"/>
  <c r="H117" i="77"/>
  <c r="C72" i="77"/>
  <c r="D72" i="77"/>
  <c r="E72" i="77"/>
  <c r="F72" i="77"/>
  <c r="G72" i="77"/>
  <c r="H72" i="77"/>
  <c r="C69" i="77"/>
  <c r="D69" i="77"/>
  <c r="E69" i="77"/>
  <c r="F69" i="77"/>
  <c r="G69" i="77"/>
  <c r="H69" i="77"/>
  <c r="C76" i="77"/>
  <c r="D76" i="77"/>
  <c r="E76" i="77"/>
  <c r="F76" i="77"/>
  <c r="G76" i="77"/>
  <c r="H76" i="77"/>
  <c r="C53" i="77"/>
  <c r="D53" i="77"/>
  <c r="E53" i="77"/>
  <c r="F53" i="77"/>
  <c r="G53" i="77"/>
  <c r="H53" i="77"/>
  <c r="C119" i="77"/>
  <c r="D119" i="77"/>
  <c r="E119" i="77"/>
  <c r="F119" i="77"/>
  <c r="G119" i="77"/>
  <c r="H119" i="77"/>
  <c r="C120" i="77"/>
  <c r="D120" i="77"/>
  <c r="E120" i="77"/>
  <c r="F120" i="77"/>
  <c r="G120" i="77"/>
  <c r="H120" i="77"/>
  <c r="C61" i="77"/>
  <c r="D61" i="77"/>
  <c r="E61" i="77"/>
  <c r="F61" i="77"/>
  <c r="G61" i="77"/>
  <c r="H61" i="77"/>
  <c r="C110" i="77"/>
  <c r="D110" i="77"/>
  <c r="E110" i="77"/>
  <c r="F110" i="77"/>
  <c r="G110" i="77"/>
  <c r="H110" i="77"/>
  <c r="C49" i="77"/>
  <c r="D49" i="77"/>
  <c r="E49" i="77"/>
  <c r="F49" i="77"/>
  <c r="G49" i="77"/>
  <c r="H49" i="77"/>
  <c r="C86" i="77"/>
  <c r="D86" i="77"/>
  <c r="E86" i="77"/>
  <c r="F86" i="77"/>
  <c r="G86" i="77"/>
  <c r="H86" i="77"/>
  <c r="C93" i="77"/>
  <c r="D93" i="77"/>
  <c r="E93" i="77"/>
  <c r="F93" i="77"/>
  <c r="G93" i="77"/>
  <c r="H93" i="77"/>
  <c r="C102" i="77"/>
  <c r="D102" i="77"/>
  <c r="E102" i="77"/>
  <c r="F102" i="77"/>
  <c r="G102" i="77"/>
  <c r="H102" i="77"/>
  <c r="C112" i="77"/>
  <c r="D112" i="77"/>
  <c r="E112" i="77"/>
  <c r="F112" i="77"/>
  <c r="G112" i="77"/>
  <c r="H112" i="77"/>
  <c r="C55" i="77"/>
  <c r="D55" i="77"/>
  <c r="E55" i="77"/>
  <c r="F55" i="77"/>
  <c r="G55" i="77"/>
  <c r="H55" i="77"/>
  <c r="C129" i="77"/>
  <c r="D129" i="77"/>
  <c r="E129" i="77"/>
  <c r="F129" i="77"/>
  <c r="G129" i="77"/>
  <c r="H129" i="77"/>
  <c r="C84" i="77"/>
  <c r="D84" i="77"/>
  <c r="E84" i="77"/>
  <c r="F84" i="77"/>
  <c r="G84" i="77"/>
  <c r="H84" i="77"/>
  <c r="C121" i="77"/>
  <c r="D121" i="77"/>
  <c r="E121" i="77"/>
  <c r="F121" i="77"/>
  <c r="G121" i="77"/>
  <c r="H121" i="77"/>
  <c r="C116" i="77"/>
  <c r="D116" i="77"/>
  <c r="E116" i="77"/>
  <c r="F116" i="77"/>
  <c r="G116" i="77"/>
  <c r="H116" i="77"/>
  <c r="C70" i="77"/>
  <c r="D70" i="77"/>
  <c r="E70" i="77"/>
  <c r="F70" i="77"/>
  <c r="G70" i="77"/>
  <c r="H70" i="77"/>
  <c r="C68" i="77"/>
  <c r="D68" i="77"/>
  <c r="E68" i="77"/>
  <c r="F68" i="77"/>
  <c r="G68" i="77"/>
  <c r="H68" i="77"/>
  <c r="C59" i="77"/>
  <c r="D59" i="77"/>
  <c r="E59" i="77"/>
  <c r="F59" i="77"/>
  <c r="G59" i="77"/>
  <c r="H59" i="77"/>
  <c r="C125" i="77"/>
  <c r="D125" i="77"/>
  <c r="E125" i="77"/>
  <c r="F125" i="77"/>
  <c r="G125" i="77"/>
  <c r="H125" i="77"/>
  <c r="C122" i="77"/>
  <c r="D122" i="77"/>
  <c r="E122" i="77"/>
  <c r="F122" i="77"/>
  <c r="G122" i="77"/>
  <c r="H122" i="77"/>
  <c r="C23" i="77"/>
  <c r="D23" i="77"/>
  <c r="E23" i="77"/>
  <c r="F23" i="77"/>
  <c r="G23" i="77"/>
  <c r="H23" i="77"/>
  <c r="C96" i="77"/>
  <c r="D96" i="77"/>
  <c r="E96" i="77"/>
  <c r="F96" i="77"/>
  <c r="G96" i="77"/>
  <c r="H96" i="77"/>
  <c r="C89" i="77"/>
  <c r="D89" i="77"/>
  <c r="E89" i="77"/>
  <c r="F89" i="77"/>
  <c r="G89" i="77"/>
  <c r="H89" i="77"/>
  <c r="C50" i="77"/>
  <c r="D50" i="77"/>
  <c r="E50" i="77"/>
  <c r="F50" i="77"/>
  <c r="G50" i="77"/>
  <c r="H50" i="77"/>
  <c r="C64" i="77"/>
  <c r="D64" i="77"/>
  <c r="E64" i="77"/>
  <c r="F64" i="77"/>
  <c r="G64" i="77"/>
  <c r="H64" i="77"/>
  <c r="C43" i="77"/>
  <c r="D43" i="77"/>
  <c r="E43" i="77"/>
  <c r="F43" i="77"/>
  <c r="G43" i="77"/>
  <c r="H43" i="77"/>
  <c r="C34" i="77"/>
  <c r="D34" i="77"/>
  <c r="E34" i="77"/>
  <c r="F34" i="77"/>
  <c r="G34" i="77"/>
  <c r="H34" i="77"/>
  <c r="C27" i="77"/>
  <c r="D27" i="77"/>
  <c r="E27" i="77"/>
  <c r="F27" i="77"/>
  <c r="G27" i="77"/>
  <c r="H27" i="77"/>
  <c r="C36" i="77"/>
  <c r="D36" i="77"/>
  <c r="E36" i="77"/>
  <c r="F36" i="77"/>
  <c r="G36" i="77"/>
  <c r="H36" i="77"/>
  <c r="C35" i="77"/>
  <c r="D35" i="77"/>
  <c r="E35" i="77"/>
  <c r="F35" i="77"/>
  <c r="G35" i="77"/>
  <c r="H35" i="77"/>
  <c r="C38" i="77"/>
  <c r="D38" i="77"/>
  <c r="E38" i="77"/>
  <c r="F38" i="77"/>
  <c r="G38" i="77"/>
  <c r="H38" i="77"/>
  <c r="C114" i="77"/>
  <c r="D114" i="77"/>
  <c r="E114" i="77"/>
  <c r="F114" i="77"/>
  <c r="G114" i="77"/>
  <c r="H114" i="77"/>
  <c r="C24" i="77"/>
  <c r="D24" i="77"/>
  <c r="E24" i="77"/>
  <c r="F24" i="77"/>
  <c r="G24" i="77"/>
  <c r="H24" i="77"/>
  <c r="C22" i="77"/>
  <c r="D22" i="77"/>
  <c r="E22" i="77"/>
  <c r="F22" i="77"/>
  <c r="G22" i="77"/>
  <c r="H22" i="77"/>
  <c r="C111" i="77"/>
  <c r="D111" i="77"/>
  <c r="E111" i="77"/>
  <c r="F111" i="77"/>
  <c r="G111" i="77"/>
  <c r="H111" i="77"/>
  <c r="C85" i="77"/>
  <c r="D85" i="77"/>
  <c r="E85" i="77"/>
  <c r="F85" i="77"/>
  <c r="G85" i="77"/>
  <c r="H85" i="77"/>
  <c r="C46" i="77"/>
  <c r="D46" i="77"/>
  <c r="E46" i="77"/>
  <c r="F46" i="77"/>
  <c r="G46" i="77"/>
  <c r="H46" i="77"/>
  <c r="C127" i="77"/>
  <c r="D127" i="77"/>
  <c r="E127" i="77"/>
  <c r="F127" i="77"/>
  <c r="G127" i="77"/>
  <c r="H127" i="77"/>
  <c r="C107" i="77"/>
  <c r="D107" i="77"/>
  <c r="E107" i="77"/>
  <c r="F107" i="77"/>
  <c r="G107" i="77"/>
  <c r="H107" i="77"/>
  <c r="C98" i="77"/>
  <c r="D98" i="77"/>
  <c r="E98" i="77"/>
  <c r="F98" i="77"/>
  <c r="G98" i="77"/>
  <c r="H98" i="77"/>
  <c r="C100" i="77"/>
  <c r="D100" i="77"/>
  <c r="E100" i="77"/>
  <c r="F100" i="77"/>
  <c r="G100" i="77"/>
  <c r="H100" i="77"/>
  <c r="C41" i="77"/>
  <c r="D41" i="77"/>
  <c r="E41" i="77"/>
  <c r="F41" i="77"/>
  <c r="G41" i="77"/>
  <c r="H41" i="77"/>
  <c r="C44" i="77"/>
  <c r="D44" i="77"/>
  <c r="E44" i="77"/>
  <c r="F44" i="77"/>
  <c r="G44" i="77"/>
  <c r="H44" i="77"/>
  <c r="C18" i="77"/>
  <c r="D18" i="77"/>
  <c r="E18" i="77"/>
  <c r="F18" i="77"/>
  <c r="G18" i="77"/>
  <c r="H18" i="77"/>
  <c r="C83" i="77"/>
  <c r="D83" i="77"/>
  <c r="E83" i="77"/>
  <c r="F83" i="77"/>
  <c r="G83" i="77"/>
  <c r="H83" i="77"/>
  <c r="C91" i="77"/>
  <c r="D91" i="77"/>
  <c r="E91" i="77"/>
  <c r="F91" i="77"/>
  <c r="G91" i="77"/>
  <c r="H91" i="77"/>
  <c r="C37" i="77"/>
  <c r="D37" i="77"/>
  <c r="E37" i="77"/>
  <c r="F37" i="77"/>
  <c r="G37" i="77"/>
  <c r="H37" i="77"/>
  <c r="C105" i="77"/>
  <c r="D105" i="77"/>
  <c r="E105" i="77"/>
  <c r="F105" i="77"/>
  <c r="G105" i="77"/>
  <c r="H105" i="77"/>
  <c r="C16" i="77"/>
  <c r="D16" i="77"/>
  <c r="E16" i="77"/>
  <c r="F16" i="77"/>
  <c r="G16" i="77"/>
  <c r="H16" i="77"/>
  <c r="C103" i="77"/>
  <c r="D103" i="77"/>
  <c r="E103" i="77"/>
  <c r="F103" i="77"/>
  <c r="G103" i="77"/>
  <c r="H103" i="77"/>
  <c r="C45" i="77"/>
  <c r="D45" i="77"/>
  <c r="E45" i="77"/>
  <c r="F45" i="77"/>
  <c r="G45" i="77"/>
  <c r="H45" i="77"/>
  <c r="C92" i="77"/>
  <c r="D92" i="77"/>
  <c r="E92" i="77"/>
  <c r="F92" i="77"/>
  <c r="G92" i="77"/>
  <c r="H92" i="77"/>
  <c r="C39" i="77"/>
  <c r="D39" i="77"/>
  <c r="E39" i="77"/>
  <c r="F39" i="77"/>
  <c r="G39" i="77"/>
  <c r="H39" i="77"/>
  <c r="C17" i="77"/>
  <c r="D17" i="77"/>
  <c r="E17" i="77"/>
  <c r="F17" i="77"/>
  <c r="G17" i="77"/>
  <c r="H17" i="77"/>
  <c r="C78" i="77"/>
  <c r="D78" i="77"/>
  <c r="E78" i="77"/>
  <c r="F78" i="77"/>
  <c r="G78" i="77"/>
  <c r="H78" i="77"/>
  <c r="C80" i="77"/>
  <c r="D80" i="77"/>
  <c r="E80" i="77"/>
  <c r="F80" i="77"/>
  <c r="G80" i="77"/>
  <c r="H80" i="77"/>
  <c r="C26" i="77"/>
  <c r="D26" i="77"/>
  <c r="E26" i="77"/>
  <c r="F26" i="77"/>
  <c r="G26" i="77"/>
  <c r="H26" i="77"/>
  <c r="C51" i="77"/>
  <c r="D51" i="77"/>
  <c r="E51" i="77"/>
  <c r="F51" i="77"/>
  <c r="G51" i="77"/>
  <c r="H51" i="77"/>
  <c r="C47" i="77"/>
  <c r="D47" i="77"/>
  <c r="E47" i="77"/>
  <c r="F47" i="77"/>
  <c r="G47" i="77"/>
  <c r="H47" i="77"/>
  <c r="C90" i="77"/>
  <c r="D90" i="77"/>
  <c r="E90" i="77"/>
  <c r="F90" i="77"/>
  <c r="G90" i="77"/>
  <c r="H90" i="77"/>
  <c r="C75" i="77"/>
  <c r="D75" i="77"/>
  <c r="E75" i="77"/>
  <c r="F75" i="77"/>
  <c r="G75" i="77"/>
  <c r="H75" i="77"/>
  <c r="C58" i="77"/>
  <c r="D58" i="77"/>
  <c r="E58" i="77"/>
  <c r="F58" i="77"/>
  <c r="G58" i="77"/>
  <c r="H58" i="77"/>
  <c r="C31" i="77"/>
  <c r="D31" i="77"/>
  <c r="E31" i="77"/>
  <c r="F31" i="77"/>
  <c r="G31" i="77"/>
  <c r="H31" i="77"/>
  <c r="C77" i="77"/>
  <c r="D77" i="77"/>
  <c r="E77" i="77"/>
  <c r="F77" i="77"/>
  <c r="G77" i="77"/>
  <c r="H77" i="77"/>
  <c r="C73" i="77"/>
  <c r="D73" i="77"/>
  <c r="E73" i="77"/>
  <c r="F73" i="77"/>
  <c r="G73" i="77"/>
  <c r="H73" i="77"/>
  <c r="C60" i="77"/>
  <c r="D60" i="77"/>
  <c r="E60" i="77"/>
  <c r="F60" i="77"/>
  <c r="G60" i="77"/>
  <c r="H60" i="77"/>
  <c r="C57" i="77"/>
  <c r="D57" i="77"/>
  <c r="E57" i="77"/>
  <c r="F57" i="77"/>
  <c r="G57" i="77"/>
  <c r="H57" i="77"/>
  <c r="C28" i="77"/>
  <c r="D28" i="77"/>
  <c r="E28" i="77"/>
  <c r="F28" i="77"/>
  <c r="G28" i="77"/>
  <c r="H28" i="77"/>
  <c r="C21" i="77"/>
  <c r="D21" i="77"/>
  <c r="E21" i="77"/>
  <c r="F21" i="77"/>
  <c r="G21" i="77"/>
  <c r="H21" i="77"/>
  <c r="C88" i="77"/>
  <c r="D88" i="77"/>
  <c r="E88" i="77"/>
  <c r="F88" i="77"/>
  <c r="G88" i="77"/>
  <c r="H88" i="77"/>
  <c r="C32" i="77"/>
  <c r="D32" i="77"/>
  <c r="E32" i="77"/>
  <c r="F32" i="77"/>
  <c r="G32" i="77"/>
  <c r="H32" i="77"/>
  <c r="C67" i="77"/>
  <c r="D67" i="77"/>
  <c r="E67" i="77"/>
  <c r="F67" i="77"/>
  <c r="G67" i="77"/>
  <c r="H67" i="77"/>
  <c r="C52" i="77"/>
  <c r="D52" i="77"/>
  <c r="E52" i="77"/>
  <c r="F52" i="77"/>
  <c r="G52" i="77"/>
  <c r="H52" i="77"/>
  <c r="C30" i="77"/>
  <c r="D30" i="77"/>
  <c r="E30" i="77"/>
  <c r="F30" i="77"/>
  <c r="G30" i="77"/>
  <c r="H30" i="77"/>
  <c r="C82" i="77"/>
  <c r="D82" i="77"/>
  <c r="E82" i="77"/>
  <c r="F82" i="77"/>
  <c r="G82" i="77"/>
  <c r="H82" i="77"/>
  <c r="C33" i="77"/>
  <c r="D33" i="77"/>
  <c r="E33" i="77"/>
  <c r="F33" i="77"/>
  <c r="G33" i="77"/>
  <c r="H33" i="77"/>
  <c r="C42" i="77"/>
  <c r="D42" i="77"/>
  <c r="E42" i="77"/>
  <c r="F42" i="77"/>
  <c r="G42" i="77"/>
  <c r="H42" i="77"/>
  <c r="C71" i="77"/>
  <c r="D71" i="77"/>
  <c r="E71" i="77"/>
  <c r="F71" i="77"/>
  <c r="G71" i="77"/>
  <c r="H71" i="77"/>
  <c r="C79" i="77"/>
  <c r="D79" i="77"/>
  <c r="E79" i="77"/>
  <c r="F79" i="77"/>
  <c r="G79" i="77"/>
  <c r="H79" i="77"/>
  <c r="C20" i="77"/>
  <c r="D20" i="77"/>
  <c r="E20" i="77"/>
  <c r="F20" i="77"/>
  <c r="G20" i="77"/>
  <c r="H20" i="77"/>
  <c r="C40" i="77"/>
  <c r="D40" i="77"/>
  <c r="E40" i="77"/>
  <c r="F40" i="77"/>
  <c r="G40" i="77"/>
  <c r="H40" i="77"/>
  <c r="C62" i="77"/>
  <c r="D62" i="77"/>
  <c r="E62" i="77"/>
  <c r="F62" i="77"/>
  <c r="G62" i="77"/>
  <c r="H62" i="77"/>
  <c r="C99" i="77"/>
  <c r="D99" i="77"/>
  <c r="E99" i="77"/>
  <c r="F99" i="77"/>
  <c r="G99" i="77"/>
  <c r="H99" i="77"/>
  <c r="C15" i="77"/>
  <c r="D15" i="77"/>
  <c r="E15" i="77"/>
  <c r="F15" i="77"/>
  <c r="G15" i="77"/>
  <c r="H15" i="77"/>
  <c r="C14" i="77"/>
  <c r="D14" i="77"/>
  <c r="E14" i="77"/>
  <c r="F14" i="77"/>
  <c r="G14" i="77"/>
  <c r="H14" i="77"/>
  <c r="C124" i="77"/>
  <c r="D124" i="77"/>
  <c r="E124" i="77"/>
  <c r="F124" i="77"/>
  <c r="G124" i="77"/>
  <c r="H124" i="77"/>
  <c r="C106" i="77"/>
  <c r="D106" i="77"/>
  <c r="E106" i="77"/>
  <c r="F106" i="77"/>
  <c r="G106" i="77"/>
  <c r="H106" i="77"/>
  <c r="C74" i="77"/>
  <c r="D74" i="77"/>
  <c r="E74" i="77"/>
  <c r="F74" i="77"/>
  <c r="G74" i="77"/>
  <c r="H74" i="77"/>
  <c r="C56" i="77"/>
  <c r="D56" i="77"/>
  <c r="E56" i="77"/>
  <c r="F56" i="77"/>
  <c r="G56" i="77"/>
  <c r="H56" i="77"/>
  <c r="C13" i="77"/>
  <c r="D13" i="77"/>
  <c r="E13" i="77"/>
  <c r="F13" i="77"/>
  <c r="G13" i="77"/>
  <c r="H13" i="77"/>
  <c r="C48" i="77"/>
  <c r="D48" i="77"/>
  <c r="E48" i="77"/>
  <c r="F48" i="77"/>
  <c r="G48" i="77"/>
  <c r="H48" i="77"/>
  <c r="C66" i="77"/>
  <c r="D66" i="77"/>
  <c r="E66" i="77"/>
  <c r="F66" i="77"/>
  <c r="G66" i="77"/>
  <c r="H66" i="77"/>
  <c r="C19" i="77"/>
  <c r="D19" i="77"/>
  <c r="E19" i="77"/>
  <c r="F19" i="77"/>
  <c r="G19" i="77"/>
  <c r="H19" i="77"/>
  <c r="C54" i="77"/>
  <c r="D54" i="77"/>
  <c r="E54" i="77"/>
  <c r="F54" i="77"/>
  <c r="G54" i="77"/>
  <c r="H54" i="77"/>
  <c r="C29" i="77"/>
  <c r="D29" i="77"/>
  <c r="E29" i="77"/>
  <c r="F29" i="77"/>
  <c r="G29" i="77"/>
  <c r="H29" i="77"/>
  <c r="C25" i="77"/>
  <c r="D25" i="77"/>
  <c r="E25" i="77"/>
  <c r="F25" i="77"/>
  <c r="G25" i="77"/>
  <c r="H25" i="77"/>
  <c r="C12" i="77"/>
  <c r="D12" i="77"/>
  <c r="E12" i="77"/>
  <c r="F12" i="77"/>
  <c r="G12" i="77"/>
  <c r="H12" i="77"/>
  <c r="H128" i="77"/>
  <c r="G128" i="77"/>
  <c r="F128" i="77"/>
  <c r="E128" i="77"/>
  <c r="D128" i="77"/>
  <c r="C128" i="77"/>
  <c r="C13" i="44"/>
  <c r="D13" i="44"/>
  <c r="E13" i="44"/>
  <c r="F13" i="44"/>
  <c r="G13" i="44"/>
  <c r="H13" i="44"/>
  <c r="C14" i="44"/>
  <c r="D14" i="44"/>
  <c r="E14" i="44"/>
  <c r="F14" i="44"/>
  <c r="G14" i="44"/>
  <c r="H14" i="44"/>
  <c r="C15" i="44"/>
  <c r="D15" i="44"/>
  <c r="E15" i="44"/>
  <c r="F15" i="44"/>
  <c r="G15" i="44"/>
  <c r="H15" i="44"/>
  <c r="C16" i="44"/>
  <c r="D16" i="44"/>
  <c r="E16" i="44"/>
  <c r="F16" i="44"/>
  <c r="G16" i="44"/>
  <c r="H16" i="44"/>
  <c r="C17" i="44"/>
  <c r="D17" i="44"/>
  <c r="E17" i="44"/>
  <c r="F17" i="44"/>
  <c r="G17" i="44"/>
  <c r="H17" i="44"/>
  <c r="C18" i="44"/>
  <c r="D18" i="44"/>
  <c r="E18" i="44"/>
  <c r="F18" i="44"/>
  <c r="G18" i="44"/>
  <c r="H18" i="44"/>
  <c r="C19" i="44"/>
  <c r="D19" i="44"/>
  <c r="E19" i="44"/>
  <c r="F19" i="44"/>
  <c r="G19" i="44"/>
  <c r="H19" i="44"/>
  <c r="C20" i="44"/>
  <c r="D20" i="44"/>
  <c r="E20" i="44"/>
  <c r="F20" i="44"/>
  <c r="G20" i="44"/>
  <c r="H20" i="44"/>
  <c r="C21" i="44"/>
  <c r="D21" i="44"/>
  <c r="E21" i="44"/>
  <c r="F21" i="44"/>
  <c r="G21" i="44"/>
  <c r="H21" i="44"/>
  <c r="C22" i="44"/>
  <c r="D22" i="44"/>
  <c r="E22" i="44"/>
  <c r="F22" i="44"/>
  <c r="G22" i="44"/>
  <c r="H22" i="44"/>
  <c r="C23" i="44"/>
  <c r="D23" i="44"/>
  <c r="E23" i="44"/>
  <c r="F23" i="44"/>
  <c r="G23" i="44"/>
  <c r="H23" i="44"/>
  <c r="C24" i="44"/>
  <c r="D24" i="44"/>
  <c r="E24" i="44"/>
  <c r="F24" i="44"/>
  <c r="G24" i="44"/>
  <c r="H24" i="44"/>
  <c r="C25" i="44"/>
  <c r="D25" i="44"/>
  <c r="E25" i="44"/>
  <c r="F25" i="44"/>
  <c r="G25" i="44"/>
  <c r="H25" i="44"/>
  <c r="C26" i="44"/>
  <c r="D26" i="44"/>
  <c r="E26" i="44"/>
  <c r="F26" i="44"/>
  <c r="G26" i="44"/>
  <c r="H26" i="44"/>
  <c r="C27" i="44"/>
  <c r="D27" i="44"/>
  <c r="E27" i="44"/>
  <c r="F27" i="44"/>
  <c r="G27" i="44"/>
  <c r="H27" i="44"/>
  <c r="C28" i="44"/>
  <c r="D28" i="44"/>
  <c r="E28" i="44"/>
  <c r="F28" i="44"/>
  <c r="G28" i="44"/>
  <c r="H28" i="44"/>
  <c r="C29" i="44"/>
  <c r="D29" i="44"/>
  <c r="E29" i="44"/>
  <c r="F29" i="44"/>
  <c r="G29" i="44"/>
  <c r="H29" i="44"/>
  <c r="C30" i="44"/>
  <c r="D30" i="44"/>
  <c r="E30" i="44"/>
  <c r="F30" i="44"/>
  <c r="G30" i="44"/>
  <c r="H30" i="44"/>
  <c r="C31" i="44"/>
  <c r="D31" i="44"/>
  <c r="E31" i="44"/>
  <c r="F31" i="44"/>
  <c r="G31" i="44"/>
  <c r="H31" i="44"/>
  <c r="C32" i="44"/>
  <c r="D32" i="44"/>
  <c r="E32" i="44"/>
  <c r="F32" i="44"/>
  <c r="G32" i="44"/>
  <c r="H32" i="44"/>
  <c r="C33" i="44"/>
  <c r="D33" i="44"/>
  <c r="E33" i="44"/>
  <c r="F33" i="44"/>
  <c r="G33" i="44"/>
  <c r="H33" i="44"/>
  <c r="C34" i="44"/>
  <c r="D34" i="44"/>
  <c r="E34" i="44"/>
  <c r="F34" i="44"/>
  <c r="G34" i="44"/>
  <c r="H34" i="44"/>
  <c r="C35" i="44"/>
  <c r="D35" i="44"/>
  <c r="E35" i="44"/>
  <c r="F35" i="44"/>
  <c r="G35" i="44"/>
  <c r="H35" i="44"/>
  <c r="C36" i="44"/>
  <c r="D36" i="44"/>
  <c r="E36" i="44"/>
  <c r="F36" i="44"/>
  <c r="G36" i="44"/>
  <c r="H36" i="44"/>
  <c r="C37" i="44"/>
  <c r="D37" i="44"/>
  <c r="E37" i="44"/>
  <c r="F37" i="44"/>
  <c r="G37" i="44"/>
  <c r="H37" i="44"/>
  <c r="C38" i="44"/>
  <c r="D38" i="44"/>
  <c r="E38" i="44"/>
  <c r="F38" i="44"/>
  <c r="G38" i="44"/>
  <c r="H38" i="44"/>
  <c r="C39" i="44"/>
  <c r="D39" i="44"/>
  <c r="E39" i="44"/>
  <c r="F39" i="44"/>
  <c r="G39" i="44"/>
  <c r="H39" i="44"/>
  <c r="C40" i="44"/>
  <c r="D40" i="44"/>
  <c r="E40" i="44"/>
  <c r="F40" i="44"/>
  <c r="G40" i="44"/>
  <c r="H40" i="44"/>
  <c r="C41" i="44"/>
  <c r="D41" i="44"/>
  <c r="E41" i="44"/>
  <c r="F41" i="44"/>
  <c r="G41" i="44"/>
  <c r="H41" i="44"/>
  <c r="C42" i="44"/>
  <c r="D42" i="44"/>
  <c r="E42" i="44"/>
  <c r="F42" i="44"/>
  <c r="G42" i="44"/>
  <c r="H42" i="44"/>
  <c r="C43" i="44"/>
  <c r="D43" i="44"/>
  <c r="E43" i="44"/>
  <c r="F43" i="44"/>
  <c r="G43" i="44"/>
  <c r="H43" i="44"/>
  <c r="C44" i="44"/>
  <c r="D44" i="44"/>
  <c r="E44" i="44"/>
  <c r="F44" i="44"/>
  <c r="G44" i="44"/>
  <c r="H44" i="44"/>
  <c r="C45" i="44"/>
  <c r="D45" i="44"/>
  <c r="E45" i="44"/>
  <c r="F45" i="44"/>
  <c r="G45" i="44"/>
  <c r="H45" i="44"/>
  <c r="C46" i="44"/>
  <c r="D46" i="44"/>
  <c r="E46" i="44"/>
  <c r="F46" i="44"/>
  <c r="G46" i="44"/>
  <c r="H46" i="44"/>
  <c r="C47" i="44"/>
  <c r="D47" i="44"/>
  <c r="E47" i="44"/>
  <c r="F47" i="44"/>
  <c r="G47" i="44"/>
  <c r="H47" i="44"/>
  <c r="C48" i="44"/>
  <c r="D48" i="44"/>
  <c r="E48" i="44"/>
  <c r="F48" i="44"/>
  <c r="G48" i="44"/>
  <c r="H48" i="44"/>
  <c r="C49" i="44"/>
  <c r="D49" i="44"/>
  <c r="E49" i="44"/>
  <c r="F49" i="44"/>
  <c r="G49" i="44"/>
  <c r="H49" i="44"/>
  <c r="C50" i="44"/>
  <c r="D50" i="44"/>
  <c r="E50" i="44"/>
  <c r="F50" i="44"/>
  <c r="G50" i="44"/>
  <c r="H50" i="44"/>
  <c r="C51" i="44"/>
  <c r="D51" i="44"/>
  <c r="E51" i="44"/>
  <c r="F51" i="44"/>
  <c r="G51" i="44"/>
  <c r="H51" i="44"/>
  <c r="C52" i="44"/>
  <c r="D52" i="44"/>
  <c r="E52" i="44"/>
  <c r="F52" i="44"/>
  <c r="G52" i="44"/>
  <c r="H52" i="44"/>
  <c r="C53" i="44"/>
  <c r="D53" i="44"/>
  <c r="E53" i="44"/>
  <c r="F53" i="44"/>
  <c r="G53" i="44"/>
  <c r="H53" i="44"/>
  <c r="C54" i="44"/>
  <c r="D54" i="44"/>
  <c r="E54" i="44"/>
  <c r="F54" i="44"/>
  <c r="G54" i="44"/>
  <c r="H54" i="44"/>
  <c r="C55" i="44"/>
  <c r="D55" i="44"/>
  <c r="E55" i="44"/>
  <c r="F55" i="44"/>
  <c r="G55" i="44"/>
  <c r="H55" i="44"/>
  <c r="C56" i="44"/>
  <c r="D56" i="44"/>
  <c r="E56" i="44"/>
  <c r="F56" i="44"/>
  <c r="G56" i="44"/>
  <c r="H56" i="44"/>
  <c r="C57" i="44"/>
  <c r="D57" i="44"/>
  <c r="E57" i="44"/>
  <c r="F57" i="44"/>
  <c r="G57" i="44"/>
  <c r="H57" i="44"/>
  <c r="C58" i="44"/>
  <c r="D58" i="44"/>
  <c r="E58" i="44"/>
  <c r="F58" i="44"/>
  <c r="G58" i="44"/>
  <c r="H58" i="44"/>
  <c r="C59" i="44"/>
  <c r="D59" i="44"/>
  <c r="E59" i="44"/>
  <c r="F59" i="44"/>
  <c r="G59" i="44"/>
  <c r="H59" i="44"/>
  <c r="C60" i="44"/>
  <c r="D60" i="44"/>
  <c r="E60" i="44"/>
  <c r="F60" i="44"/>
  <c r="G60" i="44"/>
  <c r="H60" i="44"/>
  <c r="C61" i="44"/>
  <c r="D61" i="44"/>
  <c r="E61" i="44"/>
  <c r="F61" i="44"/>
  <c r="G61" i="44"/>
  <c r="H61" i="44"/>
  <c r="C62" i="44"/>
  <c r="D62" i="44"/>
  <c r="E62" i="44"/>
  <c r="F62" i="44"/>
  <c r="G62" i="44"/>
  <c r="H62" i="44"/>
  <c r="C63" i="44"/>
  <c r="D63" i="44"/>
  <c r="E63" i="44"/>
  <c r="F63" i="44"/>
  <c r="G63" i="44"/>
  <c r="H63" i="44"/>
  <c r="C64" i="44"/>
  <c r="D64" i="44"/>
  <c r="E64" i="44"/>
  <c r="F64" i="44"/>
  <c r="G64" i="44"/>
  <c r="H64" i="44"/>
  <c r="C65" i="44"/>
  <c r="D65" i="44"/>
  <c r="E65" i="44"/>
  <c r="F65" i="44"/>
  <c r="G65" i="44"/>
  <c r="H65" i="44"/>
  <c r="C66" i="44"/>
  <c r="D66" i="44"/>
  <c r="E66" i="44"/>
  <c r="F66" i="44"/>
  <c r="G66" i="44"/>
  <c r="H66" i="44"/>
  <c r="C67" i="44"/>
  <c r="D67" i="44"/>
  <c r="E67" i="44"/>
  <c r="F67" i="44"/>
  <c r="G67" i="44"/>
  <c r="H67" i="44"/>
  <c r="C68" i="44"/>
  <c r="D68" i="44"/>
  <c r="E68" i="44"/>
  <c r="F68" i="44"/>
  <c r="G68" i="44"/>
  <c r="H68" i="44"/>
  <c r="C69" i="44"/>
  <c r="D69" i="44"/>
  <c r="E69" i="44"/>
  <c r="F69" i="44"/>
  <c r="G69" i="44"/>
  <c r="H69" i="44"/>
  <c r="C70" i="44"/>
  <c r="D70" i="44"/>
  <c r="E70" i="44"/>
  <c r="F70" i="44"/>
  <c r="G70" i="44"/>
  <c r="H70" i="44"/>
  <c r="C71" i="44"/>
  <c r="D71" i="44"/>
  <c r="E71" i="44"/>
  <c r="F71" i="44"/>
  <c r="G71" i="44"/>
  <c r="H71" i="44"/>
  <c r="C72" i="44"/>
  <c r="D72" i="44"/>
  <c r="E72" i="44"/>
  <c r="F72" i="44"/>
  <c r="G72" i="44"/>
  <c r="H72" i="44"/>
  <c r="C73" i="44"/>
  <c r="D73" i="44"/>
  <c r="E73" i="44"/>
  <c r="F73" i="44"/>
  <c r="G73" i="44"/>
  <c r="H73" i="44"/>
  <c r="C74" i="44"/>
  <c r="D74" i="44"/>
  <c r="E74" i="44"/>
  <c r="F74" i="44"/>
  <c r="G74" i="44"/>
  <c r="H74" i="44"/>
  <c r="C75" i="44"/>
  <c r="D75" i="44"/>
  <c r="E75" i="44"/>
  <c r="F75" i="44"/>
  <c r="G75" i="44"/>
  <c r="H75" i="44"/>
  <c r="C76" i="44"/>
  <c r="D76" i="44"/>
  <c r="E76" i="44"/>
  <c r="F76" i="44"/>
  <c r="G76" i="44"/>
  <c r="H76" i="44"/>
  <c r="C77" i="44"/>
  <c r="D77" i="44"/>
  <c r="E77" i="44"/>
  <c r="F77" i="44"/>
  <c r="G77" i="44"/>
  <c r="H77" i="44"/>
  <c r="C78" i="44"/>
  <c r="D78" i="44"/>
  <c r="E78" i="44"/>
  <c r="F78" i="44"/>
  <c r="G78" i="44"/>
  <c r="H78" i="44"/>
  <c r="C79" i="44"/>
  <c r="D79" i="44"/>
  <c r="E79" i="44"/>
  <c r="F79" i="44"/>
  <c r="G79" i="44"/>
  <c r="H79" i="44"/>
  <c r="C80" i="44"/>
  <c r="D80" i="44"/>
  <c r="E80" i="44"/>
  <c r="F80" i="44"/>
  <c r="G80" i="44"/>
  <c r="H80" i="44"/>
  <c r="C81" i="44"/>
  <c r="D81" i="44"/>
  <c r="E81" i="44"/>
  <c r="F81" i="44"/>
  <c r="G81" i="44"/>
  <c r="H81" i="44"/>
  <c r="C82" i="44"/>
  <c r="D82" i="44"/>
  <c r="E82" i="44"/>
  <c r="F82" i="44"/>
  <c r="G82" i="44"/>
  <c r="H82" i="44"/>
  <c r="C83" i="44"/>
  <c r="D83" i="44"/>
  <c r="E83" i="44"/>
  <c r="F83" i="44"/>
  <c r="G83" i="44"/>
  <c r="H83" i="44"/>
  <c r="C84" i="44"/>
  <c r="D84" i="44"/>
  <c r="E84" i="44"/>
  <c r="F84" i="44"/>
  <c r="G84" i="44"/>
  <c r="H84" i="44"/>
  <c r="C85" i="44"/>
  <c r="D85" i="44"/>
  <c r="E85" i="44"/>
  <c r="F85" i="44"/>
  <c r="G85" i="44"/>
  <c r="H85" i="44"/>
  <c r="C86" i="44"/>
  <c r="D86" i="44"/>
  <c r="E86" i="44"/>
  <c r="F86" i="44"/>
  <c r="G86" i="44"/>
  <c r="H86" i="44"/>
  <c r="C87" i="44"/>
  <c r="D87" i="44"/>
  <c r="E87" i="44"/>
  <c r="F87" i="44"/>
  <c r="G87" i="44"/>
  <c r="H87" i="44"/>
  <c r="C88" i="44"/>
  <c r="D88" i="44"/>
  <c r="E88" i="44"/>
  <c r="F88" i="44"/>
  <c r="G88" i="44"/>
  <c r="H88" i="44"/>
  <c r="C89" i="44"/>
  <c r="D89" i="44"/>
  <c r="E89" i="44"/>
  <c r="F89" i="44"/>
  <c r="G89" i="44"/>
  <c r="H89" i="44"/>
  <c r="C90" i="44"/>
  <c r="D90" i="44"/>
  <c r="E90" i="44"/>
  <c r="F90" i="44"/>
  <c r="G90" i="44"/>
  <c r="H90" i="44"/>
  <c r="C91" i="44"/>
  <c r="D91" i="44"/>
  <c r="E91" i="44"/>
  <c r="F91" i="44"/>
  <c r="G91" i="44"/>
  <c r="H91" i="44"/>
  <c r="C92" i="44"/>
  <c r="D92" i="44"/>
  <c r="E92" i="44"/>
  <c r="F92" i="44"/>
  <c r="G92" i="44"/>
  <c r="H92" i="44"/>
  <c r="C93" i="44"/>
  <c r="D93" i="44"/>
  <c r="E93" i="44"/>
  <c r="F93" i="44"/>
  <c r="G93" i="44"/>
  <c r="H93" i="44"/>
  <c r="C94" i="44"/>
  <c r="D94" i="44"/>
  <c r="E94" i="44"/>
  <c r="F94" i="44"/>
  <c r="G94" i="44"/>
  <c r="H94" i="44"/>
  <c r="C95" i="44"/>
  <c r="D95" i="44"/>
  <c r="E95" i="44"/>
  <c r="F95" i="44"/>
  <c r="G95" i="44"/>
  <c r="H95" i="44"/>
  <c r="C96" i="44"/>
  <c r="D96" i="44"/>
  <c r="E96" i="44"/>
  <c r="F96" i="44"/>
  <c r="G96" i="44"/>
  <c r="H96" i="44"/>
  <c r="C97" i="44"/>
  <c r="D97" i="44"/>
  <c r="E97" i="44"/>
  <c r="F97" i="44"/>
  <c r="G97" i="44"/>
  <c r="H97" i="44"/>
  <c r="C98" i="44"/>
  <c r="D98" i="44"/>
  <c r="E98" i="44"/>
  <c r="F98" i="44"/>
  <c r="G98" i="44"/>
  <c r="H98" i="44"/>
  <c r="C99" i="44"/>
  <c r="D99" i="44"/>
  <c r="E99" i="44"/>
  <c r="F99" i="44"/>
  <c r="G99" i="44"/>
  <c r="H99" i="44"/>
  <c r="C100" i="44"/>
  <c r="D100" i="44"/>
  <c r="E100" i="44"/>
  <c r="F100" i="44"/>
  <c r="G100" i="44"/>
  <c r="H100" i="44"/>
  <c r="C101" i="44"/>
  <c r="D101" i="44"/>
  <c r="E101" i="44"/>
  <c r="F101" i="44"/>
  <c r="G101" i="44"/>
  <c r="H101" i="44"/>
  <c r="C102" i="44"/>
  <c r="D102" i="44"/>
  <c r="E102" i="44"/>
  <c r="F102" i="44"/>
  <c r="G102" i="44"/>
  <c r="H102" i="44"/>
  <c r="C103" i="44"/>
  <c r="D103" i="44"/>
  <c r="E103" i="44"/>
  <c r="F103" i="44"/>
  <c r="G103" i="44"/>
  <c r="H103" i="44"/>
  <c r="C104" i="44"/>
  <c r="D104" i="44"/>
  <c r="E104" i="44"/>
  <c r="F104" i="44"/>
  <c r="G104" i="44"/>
  <c r="H104" i="44"/>
  <c r="C105" i="44"/>
  <c r="D105" i="44"/>
  <c r="E105" i="44"/>
  <c r="F105" i="44"/>
  <c r="G105" i="44"/>
  <c r="H105" i="44"/>
  <c r="C106" i="44"/>
  <c r="D106" i="44"/>
  <c r="E106" i="44"/>
  <c r="F106" i="44"/>
  <c r="G106" i="44"/>
  <c r="H106" i="44"/>
  <c r="C107" i="44"/>
  <c r="D107" i="44"/>
  <c r="E107" i="44"/>
  <c r="F107" i="44"/>
  <c r="G107" i="44"/>
  <c r="H107" i="44"/>
  <c r="C108" i="44"/>
  <c r="D108" i="44"/>
  <c r="E108" i="44"/>
  <c r="F108" i="44"/>
  <c r="G108" i="44"/>
  <c r="H108" i="44"/>
  <c r="C109" i="44"/>
  <c r="D109" i="44"/>
  <c r="E109" i="44"/>
  <c r="F109" i="44"/>
  <c r="G109" i="44"/>
  <c r="H109" i="44"/>
  <c r="C110" i="44"/>
  <c r="D110" i="44"/>
  <c r="E110" i="44"/>
  <c r="F110" i="44"/>
  <c r="G110" i="44"/>
  <c r="H110" i="44"/>
  <c r="C111" i="44"/>
  <c r="D111" i="44"/>
  <c r="E111" i="44"/>
  <c r="F111" i="44"/>
  <c r="G111" i="44"/>
  <c r="H111" i="44"/>
  <c r="C112" i="44"/>
  <c r="D112" i="44"/>
  <c r="E112" i="44"/>
  <c r="F112" i="44"/>
  <c r="G112" i="44"/>
  <c r="H112" i="44"/>
  <c r="C113" i="44"/>
  <c r="D113" i="44"/>
  <c r="E113" i="44"/>
  <c r="F113" i="44"/>
  <c r="G113" i="44"/>
  <c r="H113" i="44"/>
  <c r="C114" i="44"/>
  <c r="D114" i="44"/>
  <c r="E114" i="44"/>
  <c r="F114" i="44"/>
  <c r="G114" i="44"/>
  <c r="H114" i="44"/>
  <c r="C115" i="44"/>
  <c r="D115" i="44"/>
  <c r="E115" i="44"/>
  <c r="F115" i="44"/>
  <c r="G115" i="44"/>
  <c r="H115" i="44"/>
  <c r="C116" i="44"/>
  <c r="D116" i="44"/>
  <c r="E116" i="44"/>
  <c r="F116" i="44"/>
  <c r="G116" i="44"/>
  <c r="H116" i="44"/>
  <c r="C117" i="44"/>
  <c r="D117" i="44"/>
  <c r="E117" i="44"/>
  <c r="F117" i="44"/>
  <c r="G117" i="44"/>
  <c r="H117" i="44"/>
  <c r="C118" i="44"/>
  <c r="D118" i="44"/>
  <c r="E118" i="44"/>
  <c r="F118" i="44"/>
  <c r="G118" i="44"/>
  <c r="H118" i="44"/>
  <c r="C119" i="44"/>
  <c r="D119" i="44"/>
  <c r="E119" i="44"/>
  <c r="F119" i="44"/>
  <c r="G119" i="44"/>
  <c r="H119" i="44"/>
  <c r="C120" i="44"/>
  <c r="D120" i="44"/>
  <c r="E120" i="44"/>
  <c r="F120" i="44"/>
  <c r="G120" i="44"/>
  <c r="H120" i="44"/>
  <c r="C121" i="44"/>
  <c r="D121" i="44"/>
  <c r="E121" i="44"/>
  <c r="F121" i="44"/>
  <c r="G121" i="44"/>
  <c r="H121" i="44"/>
  <c r="C122" i="44"/>
  <c r="D122" i="44"/>
  <c r="E122" i="44"/>
  <c r="F122" i="44"/>
  <c r="G122" i="44"/>
  <c r="H122" i="44"/>
  <c r="C123" i="44"/>
  <c r="D123" i="44"/>
  <c r="E123" i="44"/>
  <c r="F123" i="44"/>
  <c r="G123" i="44"/>
  <c r="H123" i="44"/>
  <c r="C124" i="44"/>
  <c r="D124" i="44"/>
  <c r="E124" i="44"/>
  <c r="F124" i="44"/>
  <c r="G124" i="44"/>
  <c r="H124" i="44"/>
  <c r="C125" i="44"/>
  <c r="D125" i="44"/>
  <c r="E125" i="44"/>
  <c r="F125" i="44"/>
  <c r="G125" i="44"/>
  <c r="H125" i="44"/>
  <c r="C126" i="44"/>
  <c r="D126" i="44"/>
  <c r="E126" i="44"/>
  <c r="F126" i="44"/>
  <c r="G126" i="44"/>
  <c r="H126" i="44"/>
  <c r="C127" i="44"/>
  <c r="D127" i="44"/>
  <c r="E127" i="44"/>
  <c r="F127" i="44"/>
  <c r="G127" i="44"/>
  <c r="H127" i="44"/>
  <c r="C128" i="44"/>
  <c r="D128" i="44"/>
  <c r="E128" i="44"/>
  <c r="F128" i="44"/>
  <c r="G128" i="44"/>
  <c r="H128" i="44"/>
  <c r="C129" i="44"/>
  <c r="D129" i="44"/>
  <c r="E129" i="44"/>
  <c r="F129" i="44"/>
  <c r="G129" i="44"/>
  <c r="H129" i="44"/>
  <c r="C130" i="44"/>
  <c r="D130" i="44"/>
  <c r="E130" i="44"/>
  <c r="F130" i="44"/>
  <c r="G130" i="44"/>
  <c r="H130" i="44"/>
  <c r="C131" i="44"/>
  <c r="D131" i="44"/>
  <c r="E131" i="44"/>
  <c r="F131" i="44"/>
  <c r="G131" i="44"/>
  <c r="H131" i="44"/>
  <c r="C132" i="44"/>
  <c r="D132" i="44"/>
  <c r="E132" i="44"/>
  <c r="F132" i="44"/>
  <c r="G132" i="44"/>
  <c r="H132" i="44"/>
  <c r="C133" i="44"/>
  <c r="D133" i="44"/>
  <c r="E133" i="44"/>
  <c r="F133" i="44"/>
  <c r="G133" i="44"/>
  <c r="H133" i="44"/>
  <c r="C134" i="44"/>
  <c r="D134" i="44"/>
  <c r="E134" i="44"/>
  <c r="F134" i="44"/>
  <c r="G134" i="44"/>
  <c r="H134" i="44"/>
  <c r="C135" i="44"/>
  <c r="D135" i="44"/>
  <c r="E135" i="44"/>
  <c r="F135" i="44"/>
  <c r="G135" i="44"/>
  <c r="H135" i="44"/>
  <c r="C136" i="44"/>
  <c r="D136" i="44"/>
  <c r="E136" i="44"/>
  <c r="F136" i="44"/>
  <c r="G136" i="44"/>
  <c r="H136" i="44"/>
  <c r="C137" i="44"/>
  <c r="D137" i="44"/>
  <c r="E137" i="44"/>
  <c r="F137" i="44"/>
  <c r="G137" i="44"/>
  <c r="H137" i="44"/>
  <c r="C138" i="44"/>
  <c r="D138" i="44"/>
  <c r="E138" i="44"/>
  <c r="F138" i="44"/>
  <c r="G138" i="44"/>
  <c r="H138" i="44"/>
  <c r="C139" i="44"/>
  <c r="D139" i="44"/>
  <c r="E139" i="44"/>
  <c r="F139" i="44"/>
  <c r="G139" i="44"/>
  <c r="H139" i="44"/>
  <c r="C140" i="44"/>
  <c r="D140" i="44"/>
  <c r="E140" i="44"/>
  <c r="F140" i="44"/>
  <c r="G140" i="44"/>
  <c r="H140" i="44"/>
  <c r="C141" i="44"/>
  <c r="D141" i="44"/>
  <c r="E141" i="44"/>
  <c r="F141" i="44"/>
  <c r="G141" i="44"/>
  <c r="H141" i="44"/>
  <c r="H12" i="44"/>
  <c r="G12" i="44"/>
  <c r="F12" i="44"/>
  <c r="E12" i="44"/>
  <c r="D12" i="44"/>
  <c r="C12" i="44"/>
  <c r="A4" i="77"/>
  <c r="D3" i="77"/>
  <c r="K4" i="77"/>
  <c r="A2" i="77"/>
  <c r="A1" i="77"/>
  <c r="AE3" i="72"/>
  <c r="B4" i="72"/>
  <c r="D3" i="72"/>
  <c r="AD13" i="72"/>
  <c r="AD12" i="72"/>
  <c r="AE13" i="72"/>
  <c r="AD16" i="72"/>
  <c r="AE16" i="72"/>
  <c r="AD17" i="72"/>
  <c r="AE17" i="72"/>
  <c r="AD18" i="72"/>
  <c r="AE18" i="72"/>
  <c r="AD19" i="72"/>
  <c r="AE19" i="72"/>
  <c r="AD20" i="72"/>
  <c r="AE20" i="72"/>
  <c r="AD21" i="72"/>
  <c r="AE21" i="72"/>
  <c r="AD14" i="72"/>
  <c r="AE14" i="72"/>
  <c r="AD22" i="72"/>
  <c r="AE22" i="72"/>
  <c r="AD23" i="72"/>
  <c r="AE23" i="72"/>
  <c r="AD24" i="72"/>
  <c r="AE24" i="72"/>
  <c r="AD25" i="72"/>
  <c r="AE25" i="72"/>
  <c r="AD26" i="72"/>
  <c r="AE26" i="72"/>
  <c r="AD27" i="72"/>
  <c r="AE27" i="72"/>
  <c r="AD29" i="72"/>
  <c r="AE29" i="72"/>
  <c r="AD28" i="72"/>
  <c r="AE28" i="72"/>
  <c r="AD15" i="72"/>
  <c r="AE15" i="72"/>
  <c r="K3" i="76"/>
  <c r="B130" i="76"/>
  <c r="K11" i="76"/>
  <c r="A4" i="76"/>
  <c r="D3" i="76"/>
  <c r="K3" i="52"/>
  <c r="D3" i="52"/>
  <c r="A4" i="52"/>
  <c r="A11" i="52"/>
  <c r="A11" i="76"/>
  <c r="D219" i="76"/>
  <c r="D218" i="76"/>
  <c r="D217" i="76"/>
  <c r="D216" i="76"/>
  <c r="D215" i="76"/>
  <c r="D214" i="76"/>
  <c r="D213" i="76"/>
  <c r="D212" i="76"/>
  <c r="D211" i="76"/>
  <c r="D210" i="76"/>
  <c r="D209" i="76"/>
  <c r="D208" i="76"/>
  <c r="D207" i="76"/>
  <c r="D206" i="76"/>
  <c r="D205" i="76"/>
  <c r="D204" i="76"/>
  <c r="D203" i="76"/>
  <c r="D202" i="76"/>
  <c r="E139" i="76"/>
  <c r="E137" i="76"/>
  <c r="E136" i="76"/>
  <c r="E135" i="76"/>
  <c r="E134" i="76"/>
  <c r="H129" i="76"/>
  <c r="G129" i="76"/>
  <c r="F129" i="76"/>
  <c r="E129" i="76"/>
  <c r="D129" i="76"/>
  <c r="C129" i="76"/>
  <c r="H128" i="76"/>
  <c r="G128" i="76"/>
  <c r="F128" i="76"/>
  <c r="E128" i="76"/>
  <c r="D128" i="76"/>
  <c r="C128" i="76"/>
  <c r="H127" i="76"/>
  <c r="G127" i="76"/>
  <c r="F127" i="76"/>
  <c r="E127" i="76"/>
  <c r="D127" i="76"/>
  <c r="C127" i="76"/>
  <c r="H126" i="76"/>
  <c r="G126" i="76"/>
  <c r="F126" i="76"/>
  <c r="E126" i="76"/>
  <c r="D126" i="76"/>
  <c r="C126" i="76"/>
  <c r="H125" i="76"/>
  <c r="G125" i="76"/>
  <c r="F125" i="76"/>
  <c r="E125" i="76"/>
  <c r="D125" i="76"/>
  <c r="C125" i="76"/>
  <c r="H124" i="76"/>
  <c r="G124" i="76"/>
  <c r="F124" i="76"/>
  <c r="E124" i="76"/>
  <c r="D124" i="76"/>
  <c r="C124" i="76"/>
  <c r="H123" i="76"/>
  <c r="G123" i="76"/>
  <c r="F123" i="76"/>
  <c r="E123" i="76"/>
  <c r="D123" i="76"/>
  <c r="C123" i="76"/>
  <c r="H122" i="76"/>
  <c r="G122" i="76"/>
  <c r="F122" i="76"/>
  <c r="E122" i="76"/>
  <c r="D122" i="76"/>
  <c r="C122" i="76"/>
  <c r="H121" i="76"/>
  <c r="G121" i="76"/>
  <c r="F121" i="76"/>
  <c r="E121" i="76"/>
  <c r="D121" i="76"/>
  <c r="C121" i="76"/>
  <c r="H120" i="76"/>
  <c r="G120" i="76"/>
  <c r="F120" i="76"/>
  <c r="E120" i="76"/>
  <c r="D120" i="76"/>
  <c r="C120" i="76"/>
  <c r="H119" i="76"/>
  <c r="G119" i="76"/>
  <c r="F119" i="76"/>
  <c r="E119" i="76"/>
  <c r="D119" i="76"/>
  <c r="C119" i="76"/>
  <c r="H118" i="76"/>
  <c r="G118" i="76"/>
  <c r="F118" i="76"/>
  <c r="E118" i="76"/>
  <c r="D118" i="76"/>
  <c r="C118" i="76"/>
  <c r="H117" i="76"/>
  <c r="G117" i="76"/>
  <c r="F117" i="76"/>
  <c r="E117" i="76"/>
  <c r="D117" i="76"/>
  <c r="C117" i="76"/>
  <c r="H116" i="76"/>
  <c r="G116" i="76"/>
  <c r="F116" i="76"/>
  <c r="E116" i="76"/>
  <c r="D116" i="76"/>
  <c r="C116" i="76"/>
  <c r="H115" i="76"/>
  <c r="G115" i="76"/>
  <c r="F115" i="76"/>
  <c r="E115" i="76"/>
  <c r="D115" i="76"/>
  <c r="C115" i="76"/>
  <c r="H114" i="76"/>
  <c r="G114" i="76"/>
  <c r="F114" i="76"/>
  <c r="E114" i="76"/>
  <c r="D114" i="76"/>
  <c r="C114" i="76"/>
  <c r="H113" i="76"/>
  <c r="G113" i="76"/>
  <c r="F113" i="76"/>
  <c r="E113" i="76"/>
  <c r="D113" i="76"/>
  <c r="C113" i="76"/>
  <c r="H112" i="76"/>
  <c r="G112" i="76"/>
  <c r="F112" i="76"/>
  <c r="E112" i="76"/>
  <c r="D112" i="76"/>
  <c r="C112" i="76"/>
  <c r="H111" i="76"/>
  <c r="G111" i="76"/>
  <c r="F111" i="76"/>
  <c r="E111" i="76"/>
  <c r="D111" i="76"/>
  <c r="C111" i="76"/>
  <c r="H110" i="76"/>
  <c r="G110" i="76"/>
  <c r="F110" i="76"/>
  <c r="E110" i="76"/>
  <c r="D110" i="76"/>
  <c r="C110" i="76"/>
  <c r="H109" i="76"/>
  <c r="G109" i="76"/>
  <c r="F109" i="76"/>
  <c r="E109" i="76"/>
  <c r="D109" i="76"/>
  <c r="C109" i="76"/>
  <c r="H108" i="76"/>
  <c r="G108" i="76"/>
  <c r="F108" i="76"/>
  <c r="E108" i="76"/>
  <c r="D108" i="76"/>
  <c r="C108" i="76"/>
  <c r="H107" i="76"/>
  <c r="G107" i="76"/>
  <c r="F107" i="76"/>
  <c r="E107" i="76"/>
  <c r="D107" i="76"/>
  <c r="C107" i="76"/>
  <c r="H106" i="76"/>
  <c r="G106" i="76"/>
  <c r="F106" i="76"/>
  <c r="E106" i="76"/>
  <c r="D106" i="76"/>
  <c r="C106" i="76"/>
  <c r="H105" i="76"/>
  <c r="G105" i="76"/>
  <c r="F105" i="76"/>
  <c r="E105" i="76"/>
  <c r="D105" i="76"/>
  <c r="C105" i="76"/>
  <c r="H104" i="76"/>
  <c r="G104" i="76"/>
  <c r="F104" i="76"/>
  <c r="E104" i="76"/>
  <c r="D104" i="76"/>
  <c r="C104" i="76"/>
  <c r="H103" i="76"/>
  <c r="G103" i="76"/>
  <c r="F103" i="76"/>
  <c r="E103" i="76"/>
  <c r="D103" i="76"/>
  <c r="C103" i="76"/>
  <c r="H102" i="76"/>
  <c r="G102" i="76"/>
  <c r="F102" i="76"/>
  <c r="E102" i="76"/>
  <c r="D102" i="76"/>
  <c r="C102" i="76"/>
  <c r="H101" i="76"/>
  <c r="G101" i="76"/>
  <c r="F101" i="76"/>
  <c r="E101" i="76"/>
  <c r="D101" i="76"/>
  <c r="C101" i="76"/>
  <c r="H100" i="76"/>
  <c r="G100" i="76"/>
  <c r="F100" i="76"/>
  <c r="E100" i="76"/>
  <c r="D100" i="76"/>
  <c r="C100" i="76"/>
  <c r="H99" i="76"/>
  <c r="G99" i="76"/>
  <c r="F99" i="76"/>
  <c r="E99" i="76"/>
  <c r="D99" i="76"/>
  <c r="C99" i="76"/>
  <c r="H98" i="76"/>
  <c r="G98" i="76"/>
  <c r="F98" i="76"/>
  <c r="E98" i="76"/>
  <c r="D98" i="76"/>
  <c r="C98" i="76"/>
  <c r="H97" i="76"/>
  <c r="G97" i="76"/>
  <c r="F97" i="76"/>
  <c r="E97" i="76"/>
  <c r="D97" i="76"/>
  <c r="C97" i="76"/>
  <c r="H96" i="76"/>
  <c r="G96" i="76"/>
  <c r="F96" i="76"/>
  <c r="E96" i="76"/>
  <c r="D96" i="76"/>
  <c r="C96" i="76"/>
  <c r="H95" i="76"/>
  <c r="G95" i="76"/>
  <c r="F95" i="76"/>
  <c r="E95" i="76"/>
  <c r="D95" i="76"/>
  <c r="C95" i="76"/>
  <c r="H94" i="76"/>
  <c r="G94" i="76"/>
  <c r="F94" i="76"/>
  <c r="E94" i="76"/>
  <c r="D94" i="76"/>
  <c r="C94" i="76"/>
  <c r="H93" i="76"/>
  <c r="G93" i="76"/>
  <c r="F93" i="76"/>
  <c r="E93" i="76"/>
  <c r="D93" i="76"/>
  <c r="C93" i="76"/>
  <c r="H92" i="76"/>
  <c r="G92" i="76"/>
  <c r="F92" i="76"/>
  <c r="E92" i="76"/>
  <c r="D92" i="76"/>
  <c r="C92" i="76"/>
  <c r="H91" i="76"/>
  <c r="G91" i="76"/>
  <c r="F91" i="76"/>
  <c r="E91" i="76"/>
  <c r="D91" i="76"/>
  <c r="C91" i="76"/>
  <c r="H90" i="76"/>
  <c r="G90" i="76"/>
  <c r="F90" i="76"/>
  <c r="E90" i="76"/>
  <c r="D90" i="76"/>
  <c r="C90" i="76"/>
  <c r="H89" i="76"/>
  <c r="G89" i="76"/>
  <c r="F89" i="76"/>
  <c r="E89" i="76"/>
  <c r="D89" i="76"/>
  <c r="C89" i="76"/>
  <c r="H88" i="76"/>
  <c r="G88" i="76"/>
  <c r="F88" i="76"/>
  <c r="E88" i="76"/>
  <c r="D88" i="76"/>
  <c r="C88" i="76"/>
  <c r="H87" i="76"/>
  <c r="G87" i="76"/>
  <c r="F87" i="76"/>
  <c r="E87" i="76"/>
  <c r="D87" i="76"/>
  <c r="C87" i="76"/>
  <c r="H86" i="76"/>
  <c r="G86" i="76"/>
  <c r="F86" i="76"/>
  <c r="E86" i="76"/>
  <c r="D86" i="76"/>
  <c r="C86" i="76"/>
  <c r="H85" i="76"/>
  <c r="G85" i="76"/>
  <c r="F85" i="76"/>
  <c r="E85" i="76"/>
  <c r="D85" i="76"/>
  <c r="C85" i="76"/>
  <c r="H84" i="76"/>
  <c r="G84" i="76"/>
  <c r="F84" i="76"/>
  <c r="E84" i="76"/>
  <c r="D84" i="76"/>
  <c r="C84" i="76"/>
  <c r="H83" i="76"/>
  <c r="G83" i="76"/>
  <c r="F83" i="76"/>
  <c r="E83" i="76"/>
  <c r="D83" i="76"/>
  <c r="C83" i="76"/>
  <c r="H82" i="76"/>
  <c r="G82" i="76"/>
  <c r="F82" i="76"/>
  <c r="E82" i="76"/>
  <c r="D82" i="76"/>
  <c r="C82" i="76"/>
  <c r="H81" i="76"/>
  <c r="G81" i="76"/>
  <c r="F81" i="76"/>
  <c r="E81" i="76"/>
  <c r="D81" i="76"/>
  <c r="C81" i="76"/>
  <c r="H80" i="76"/>
  <c r="G80" i="76"/>
  <c r="F80" i="76"/>
  <c r="E80" i="76"/>
  <c r="D80" i="76"/>
  <c r="C80" i="76"/>
  <c r="H79" i="76"/>
  <c r="G79" i="76"/>
  <c r="F79" i="76"/>
  <c r="E79" i="76"/>
  <c r="D79" i="76"/>
  <c r="C79" i="76"/>
  <c r="H78" i="76"/>
  <c r="G78" i="76"/>
  <c r="F78" i="76"/>
  <c r="E78" i="76"/>
  <c r="D78" i="76"/>
  <c r="C78" i="76"/>
  <c r="H77" i="76"/>
  <c r="G77" i="76"/>
  <c r="F77" i="76"/>
  <c r="E77" i="76"/>
  <c r="D77" i="76"/>
  <c r="C77" i="76"/>
  <c r="H76" i="76"/>
  <c r="G76" i="76"/>
  <c r="F76" i="76"/>
  <c r="E76" i="76"/>
  <c r="D76" i="76"/>
  <c r="C76" i="76"/>
  <c r="H75" i="76"/>
  <c r="G75" i="76"/>
  <c r="F75" i="76"/>
  <c r="E75" i="76"/>
  <c r="D75" i="76"/>
  <c r="C75" i="76"/>
  <c r="H74" i="76"/>
  <c r="G74" i="76"/>
  <c r="F74" i="76"/>
  <c r="E74" i="76"/>
  <c r="D74" i="76"/>
  <c r="C74" i="76"/>
  <c r="H73" i="76"/>
  <c r="G73" i="76"/>
  <c r="F73" i="76"/>
  <c r="E73" i="76"/>
  <c r="D73" i="76"/>
  <c r="C73" i="76"/>
  <c r="H72" i="76"/>
  <c r="G72" i="76"/>
  <c r="F72" i="76"/>
  <c r="E72" i="76"/>
  <c r="D72" i="76"/>
  <c r="C72" i="76"/>
  <c r="H71" i="76"/>
  <c r="G71" i="76"/>
  <c r="F71" i="76"/>
  <c r="E71" i="76"/>
  <c r="D71" i="76"/>
  <c r="C71" i="76"/>
  <c r="H70" i="76"/>
  <c r="G70" i="76"/>
  <c r="F70" i="76"/>
  <c r="E70" i="76"/>
  <c r="D70" i="76"/>
  <c r="C70" i="76"/>
  <c r="H69" i="76"/>
  <c r="G69" i="76"/>
  <c r="F69" i="76"/>
  <c r="E69" i="76"/>
  <c r="D69" i="76"/>
  <c r="C69" i="76"/>
  <c r="H68" i="76"/>
  <c r="G68" i="76"/>
  <c r="F68" i="76"/>
  <c r="E68" i="76"/>
  <c r="D68" i="76"/>
  <c r="C68" i="76"/>
  <c r="H67" i="76"/>
  <c r="G67" i="76"/>
  <c r="F67" i="76"/>
  <c r="E67" i="76"/>
  <c r="D67" i="76"/>
  <c r="C67" i="76"/>
  <c r="H66" i="76"/>
  <c r="G66" i="76"/>
  <c r="F66" i="76"/>
  <c r="E66" i="76"/>
  <c r="D66" i="76"/>
  <c r="C66" i="76"/>
  <c r="H65" i="76"/>
  <c r="G65" i="76"/>
  <c r="F65" i="76"/>
  <c r="E65" i="76"/>
  <c r="D65" i="76"/>
  <c r="C65" i="76"/>
  <c r="H64" i="76"/>
  <c r="G64" i="76"/>
  <c r="F64" i="76"/>
  <c r="E64" i="76"/>
  <c r="D64" i="76"/>
  <c r="C64" i="76"/>
  <c r="H63" i="76"/>
  <c r="G63" i="76"/>
  <c r="F63" i="76"/>
  <c r="E63" i="76"/>
  <c r="D63" i="76"/>
  <c r="C63" i="76"/>
  <c r="H62" i="76"/>
  <c r="G62" i="76"/>
  <c r="F62" i="76"/>
  <c r="E62" i="76"/>
  <c r="D62" i="76"/>
  <c r="C62" i="76"/>
  <c r="H61" i="76"/>
  <c r="G61" i="76"/>
  <c r="F61" i="76"/>
  <c r="E61" i="76"/>
  <c r="D61" i="76"/>
  <c r="C61" i="76"/>
  <c r="H60" i="76"/>
  <c r="G60" i="76"/>
  <c r="F60" i="76"/>
  <c r="E60" i="76"/>
  <c r="D60" i="76"/>
  <c r="C60" i="76"/>
  <c r="H59" i="76"/>
  <c r="G59" i="76"/>
  <c r="F59" i="76"/>
  <c r="E59" i="76"/>
  <c r="D59" i="76"/>
  <c r="C59" i="76"/>
  <c r="H58" i="76"/>
  <c r="G58" i="76"/>
  <c r="F58" i="76"/>
  <c r="E58" i="76"/>
  <c r="D58" i="76"/>
  <c r="C58" i="76"/>
  <c r="H57" i="76"/>
  <c r="G57" i="76"/>
  <c r="F57" i="76"/>
  <c r="E57" i="76"/>
  <c r="D57" i="76"/>
  <c r="C57" i="76"/>
  <c r="H56" i="76"/>
  <c r="G56" i="76"/>
  <c r="F56" i="76"/>
  <c r="E56" i="76"/>
  <c r="D56" i="76"/>
  <c r="C56" i="76"/>
  <c r="H55" i="76"/>
  <c r="G55" i="76"/>
  <c r="F55" i="76"/>
  <c r="E55" i="76"/>
  <c r="D55" i="76"/>
  <c r="C55" i="76"/>
  <c r="H54" i="76"/>
  <c r="G54" i="76"/>
  <c r="F54" i="76"/>
  <c r="E54" i="76"/>
  <c r="D54" i="76"/>
  <c r="C54" i="76"/>
  <c r="H53" i="76"/>
  <c r="G53" i="76"/>
  <c r="F53" i="76"/>
  <c r="E53" i="76"/>
  <c r="D53" i="76"/>
  <c r="C53" i="76"/>
  <c r="H52" i="76"/>
  <c r="G52" i="76"/>
  <c r="F52" i="76"/>
  <c r="E52" i="76"/>
  <c r="D52" i="76"/>
  <c r="C52" i="76"/>
  <c r="H51" i="76"/>
  <c r="G51" i="76"/>
  <c r="F51" i="76"/>
  <c r="E51" i="76"/>
  <c r="D51" i="76"/>
  <c r="C51" i="76"/>
  <c r="H50" i="76"/>
  <c r="G50" i="76"/>
  <c r="F50" i="76"/>
  <c r="E50" i="76"/>
  <c r="D50" i="76"/>
  <c r="C50" i="76"/>
  <c r="H49" i="76"/>
  <c r="G49" i="76"/>
  <c r="F49" i="76"/>
  <c r="E49" i="76"/>
  <c r="D49" i="76"/>
  <c r="C49" i="76"/>
  <c r="H48" i="76"/>
  <c r="G48" i="76"/>
  <c r="F48" i="76"/>
  <c r="E48" i="76"/>
  <c r="D48" i="76"/>
  <c r="C48" i="76"/>
  <c r="H47" i="76"/>
  <c r="G47" i="76"/>
  <c r="F47" i="76"/>
  <c r="E47" i="76"/>
  <c r="D47" i="76"/>
  <c r="C47" i="76"/>
  <c r="H46" i="76"/>
  <c r="G46" i="76"/>
  <c r="F46" i="76"/>
  <c r="E46" i="76"/>
  <c r="D46" i="76"/>
  <c r="C46" i="76"/>
  <c r="H45" i="76"/>
  <c r="G45" i="76"/>
  <c r="F45" i="76"/>
  <c r="E45" i="76"/>
  <c r="D45" i="76"/>
  <c r="C45" i="76"/>
  <c r="H44" i="76"/>
  <c r="G44" i="76"/>
  <c r="F44" i="76"/>
  <c r="E44" i="76"/>
  <c r="D44" i="76"/>
  <c r="C44" i="76"/>
  <c r="H43" i="76"/>
  <c r="G43" i="76"/>
  <c r="F43" i="76"/>
  <c r="E43" i="76"/>
  <c r="D43" i="76"/>
  <c r="C43" i="76"/>
  <c r="H42" i="76"/>
  <c r="G42" i="76"/>
  <c r="F42" i="76"/>
  <c r="E42" i="76"/>
  <c r="D42" i="76"/>
  <c r="C42" i="76"/>
  <c r="H41" i="76"/>
  <c r="G41" i="76"/>
  <c r="F41" i="76"/>
  <c r="E41" i="76"/>
  <c r="D41" i="76"/>
  <c r="C41" i="76"/>
  <c r="H40" i="76"/>
  <c r="G40" i="76"/>
  <c r="F40" i="76"/>
  <c r="E40" i="76"/>
  <c r="D40" i="76"/>
  <c r="C40" i="76"/>
  <c r="H39" i="76"/>
  <c r="G39" i="76"/>
  <c r="F39" i="76"/>
  <c r="E39" i="76"/>
  <c r="D39" i="76"/>
  <c r="C39" i="76"/>
  <c r="H38" i="76"/>
  <c r="G38" i="76"/>
  <c r="F38" i="76"/>
  <c r="E38" i="76"/>
  <c r="D38" i="76"/>
  <c r="C38" i="76"/>
  <c r="H37" i="76"/>
  <c r="G37" i="76"/>
  <c r="F37" i="76"/>
  <c r="E37" i="76"/>
  <c r="D37" i="76"/>
  <c r="C37" i="76"/>
  <c r="H36" i="76"/>
  <c r="G36" i="76"/>
  <c r="F36" i="76"/>
  <c r="E36" i="76"/>
  <c r="D36" i="76"/>
  <c r="C36" i="76"/>
  <c r="H35" i="76"/>
  <c r="G35" i="76"/>
  <c r="F35" i="76"/>
  <c r="E35" i="76"/>
  <c r="D35" i="76"/>
  <c r="C35" i="76"/>
  <c r="H34" i="76"/>
  <c r="G34" i="76"/>
  <c r="F34" i="76"/>
  <c r="E34" i="76"/>
  <c r="D34" i="76"/>
  <c r="C34" i="76"/>
  <c r="H33" i="76"/>
  <c r="G33" i="76"/>
  <c r="F33" i="76"/>
  <c r="E33" i="76"/>
  <c r="D33" i="76"/>
  <c r="C33" i="76"/>
  <c r="H32" i="76"/>
  <c r="G32" i="76"/>
  <c r="F32" i="76"/>
  <c r="E32" i="76"/>
  <c r="D32" i="76"/>
  <c r="C32" i="76"/>
  <c r="H31" i="76"/>
  <c r="G31" i="76"/>
  <c r="F31" i="76"/>
  <c r="E31" i="76"/>
  <c r="D31" i="76"/>
  <c r="C31" i="76"/>
  <c r="H30" i="76"/>
  <c r="G30" i="76"/>
  <c r="F30" i="76"/>
  <c r="E30" i="76"/>
  <c r="D30" i="76"/>
  <c r="C30" i="76"/>
  <c r="H29" i="76"/>
  <c r="G29" i="76"/>
  <c r="F29" i="76"/>
  <c r="E29" i="76"/>
  <c r="D29" i="76"/>
  <c r="C29" i="76"/>
  <c r="H28" i="76"/>
  <c r="G28" i="76"/>
  <c r="F28" i="76"/>
  <c r="E28" i="76"/>
  <c r="D28" i="76"/>
  <c r="C28" i="76"/>
  <c r="H27" i="76"/>
  <c r="G27" i="76"/>
  <c r="F27" i="76"/>
  <c r="E27" i="76"/>
  <c r="D27" i="76"/>
  <c r="C27" i="76"/>
  <c r="H26" i="76"/>
  <c r="G26" i="76"/>
  <c r="F26" i="76"/>
  <c r="E26" i="76"/>
  <c r="D26" i="76"/>
  <c r="C26" i="76"/>
  <c r="H25" i="76"/>
  <c r="G25" i="76"/>
  <c r="F25" i="76"/>
  <c r="E25" i="76"/>
  <c r="D25" i="76"/>
  <c r="C25" i="76"/>
  <c r="H24" i="76"/>
  <c r="G24" i="76"/>
  <c r="F24" i="76"/>
  <c r="E24" i="76"/>
  <c r="D24" i="76"/>
  <c r="C24" i="76"/>
  <c r="H23" i="76"/>
  <c r="G23" i="76"/>
  <c r="F23" i="76"/>
  <c r="E23" i="76"/>
  <c r="D23" i="76"/>
  <c r="C23" i="76"/>
  <c r="H22" i="76"/>
  <c r="G22" i="76"/>
  <c r="F22" i="76"/>
  <c r="E22" i="76"/>
  <c r="D22" i="76"/>
  <c r="C22" i="76"/>
  <c r="H21" i="76"/>
  <c r="G21" i="76"/>
  <c r="F21" i="76"/>
  <c r="E21" i="76"/>
  <c r="D21" i="76"/>
  <c r="C21" i="76"/>
  <c r="H20" i="76"/>
  <c r="G20" i="76"/>
  <c r="F20" i="76"/>
  <c r="E20" i="76"/>
  <c r="D20" i="76"/>
  <c r="C20" i="76"/>
  <c r="H19" i="76"/>
  <c r="G19" i="76"/>
  <c r="F19" i="76"/>
  <c r="E19" i="76"/>
  <c r="D19" i="76"/>
  <c r="C19" i="76"/>
  <c r="H18" i="76"/>
  <c r="G18" i="76"/>
  <c r="F18" i="76"/>
  <c r="E18" i="76"/>
  <c r="D18" i="76"/>
  <c r="C18" i="76"/>
  <c r="H17" i="76"/>
  <c r="G17" i="76"/>
  <c r="F17" i="76"/>
  <c r="E17" i="76"/>
  <c r="D17" i="76"/>
  <c r="C17" i="76"/>
  <c r="H16" i="76"/>
  <c r="G16" i="76"/>
  <c r="F16" i="76"/>
  <c r="E16" i="76"/>
  <c r="D16" i="76"/>
  <c r="C16" i="76"/>
  <c r="H15" i="76"/>
  <c r="G15" i="76"/>
  <c r="F15" i="76"/>
  <c r="E15" i="76"/>
  <c r="D15" i="76"/>
  <c r="C15" i="76"/>
  <c r="H14" i="76"/>
  <c r="G14" i="76"/>
  <c r="F14" i="76"/>
  <c r="E14" i="76"/>
  <c r="D14" i="76"/>
  <c r="C14" i="76"/>
  <c r="H13" i="76"/>
  <c r="G13" i="76"/>
  <c r="F13" i="76"/>
  <c r="E13" i="76"/>
  <c r="D13" i="76"/>
  <c r="C13" i="76"/>
  <c r="H12" i="76"/>
  <c r="G12" i="76"/>
  <c r="F12" i="76"/>
  <c r="E12" i="76"/>
  <c r="D12" i="76"/>
  <c r="C12" i="76"/>
  <c r="K4" i="76"/>
  <c r="A2" i="76"/>
  <c r="A1" i="76"/>
  <c r="S13" i="75"/>
  <c r="S14" i="75"/>
  <c r="S15" i="75"/>
  <c r="S16" i="75"/>
  <c r="S17" i="75"/>
  <c r="S18" i="75"/>
  <c r="S19" i="75"/>
  <c r="S21" i="75"/>
  <c r="S20" i="75"/>
  <c r="S22" i="75"/>
  <c r="S23" i="75"/>
  <c r="S24" i="75"/>
  <c r="S27" i="75"/>
  <c r="S29" i="75"/>
  <c r="S25" i="75"/>
  <c r="S28" i="75"/>
  <c r="S30" i="75"/>
  <c r="S26" i="75"/>
  <c r="C53" i="75"/>
  <c r="D53" i="75"/>
  <c r="E53" i="75"/>
  <c r="C54" i="75"/>
  <c r="D54" i="75"/>
  <c r="E54" i="75"/>
  <c r="C55" i="75"/>
  <c r="D55" i="75"/>
  <c r="E55" i="75"/>
  <c r="C56" i="75"/>
  <c r="D56" i="75"/>
  <c r="E56" i="75"/>
  <c r="C57" i="75"/>
  <c r="D57" i="75"/>
  <c r="E57" i="75"/>
  <c r="C58" i="75"/>
  <c r="D58" i="75"/>
  <c r="E58" i="75"/>
  <c r="C59" i="75"/>
  <c r="D59" i="75"/>
  <c r="E59" i="75"/>
  <c r="C60" i="75"/>
  <c r="D60" i="75"/>
  <c r="E60" i="75"/>
  <c r="C61" i="75"/>
  <c r="D61" i="75"/>
  <c r="E61" i="75"/>
  <c r="C62" i="75"/>
  <c r="D62" i="75"/>
  <c r="E62" i="75"/>
  <c r="C63" i="75"/>
  <c r="D63" i="75"/>
  <c r="E63" i="75"/>
  <c r="C64" i="75"/>
  <c r="D64" i="75"/>
  <c r="E64" i="75"/>
  <c r="C65" i="75"/>
  <c r="D65" i="75"/>
  <c r="E65" i="75"/>
  <c r="C66" i="75"/>
  <c r="D66" i="75"/>
  <c r="E66" i="75"/>
  <c r="C67" i="75"/>
  <c r="D67" i="75"/>
  <c r="E67" i="75"/>
  <c r="C68" i="75"/>
  <c r="D68" i="75"/>
  <c r="E68" i="75"/>
  <c r="C69" i="75"/>
  <c r="D69" i="75"/>
  <c r="E69" i="75"/>
  <c r="C70" i="75"/>
  <c r="D70" i="75"/>
  <c r="E70" i="75"/>
  <c r="E52" i="75"/>
  <c r="D52" i="75"/>
  <c r="C52" i="75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2" i="44"/>
  <c r="S3" i="75"/>
  <c r="A4" i="75"/>
  <c r="D3" i="75"/>
  <c r="W70" i="75"/>
  <c r="U70" i="75"/>
  <c r="S70" i="75"/>
  <c r="W69" i="75"/>
  <c r="U69" i="75"/>
  <c r="S69" i="75"/>
  <c r="W68" i="75"/>
  <c r="U68" i="75"/>
  <c r="S68" i="75"/>
  <c r="W67" i="75"/>
  <c r="U67" i="75"/>
  <c r="S67" i="75"/>
  <c r="W66" i="75"/>
  <c r="U66" i="75"/>
  <c r="S66" i="75"/>
  <c r="W65" i="75"/>
  <c r="U65" i="75"/>
  <c r="S65" i="75"/>
  <c r="W64" i="75"/>
  <c r="U64" i="75"/>
  <c r="S64" i="75"/>
  <c r="W63" i="75"/>
  <c r="U63" i="75"/>
  <c r="S63" i="75"/>
  <c r="W62" i="75"/>
  <c r="U62" i="75"/>
  <c r="S62" i="75"/>
  <c r="W61" i="75"/>
  <c r="U61" i="75"/>
  <c r="S61" i="75"/>
  <c r="W60" i="75"/>
  <c r="U60" i="75"/>
  <c r="S60" i="75"/>
  <c r="W59" i="75"/>
  <c r="U59" i="75"/>
  <c r="S59" i="75"/>
  <c r="W58" i="75"/>
  <c r="U58" i="75"/>
  <c r="S53" i="75"/>
  <c r="W57" i="75"/>
  <c r="U57" i="75"/>
  <c r="S58" i="75"/>
  <c r="W56" i="75"/>
  <c r="U56" i="75"/>
  <c r="S55" i="75"/>
  <c r="W55" i="75"/>
  <c r="U55" i="75"/>
  <c r="S57" i="75"/>
  <c r="W54" i="75"/>
  <c r="U54" i="75"/>
  <c r="S54" i="75"/>
  <c r="W53" i="75"/>
  <c r="U53" i="75"/>
  <c r="S56" i="75"/>
  <c r="W52" i="75"/>
  <c r="U52" i="75"/>
  <c r="S52" i="75"/>
  <c r="W47" i="75"/>
  <c r="V47" i="75"/>
  <c r="U47" i="75"/>
  <c r="S47" i="75"/>
  <c r="E47" i="75"/>
  <c r="D47" i="75"/>
  <c r="C47" i="75"/>
  <c r="W46" i="75"/>
  <c r="V46" i="75"/>
  <c r="U46" i="75"/>
  <c r="S46" i="75"/>
  <c r="E46" i="75"/>
  <c r="D46" i="75"/>
  <c r="C46" i="75"/>
  <c r="W45" i="75"/>
  <c r="V45" i="75"/>
  <c r="U45" i="75"/>
  <c r="S45" i="75"/>
  <c r="E45" i="75"/>
  <c r="D45" i="75"/>
  <c r="C45" i="75"/>
  <c r="W44" i="75"/>
  <c r="V44" i="75"/>
  <c r="U44" i="75"/>
  <c r="S44" i="75"/>
  <c r="E44" i="75"/>
  <c r="D44" i="75"/>
  <c r="C44" i="75"/>
  <c r="W43" i="75"/>
  <c r="V43" i="75"/>
  <c r="U43" i="75"/>
  <c r="S43" i="75"/>
  <c r="E43" i="75"/>
  <c r="D43" i="75"/>
  <c r="C43" i="75"/>
  <c r="W42" i="75"/>
  <c r="V42" i="75"/>
  <c r="U42" i="75"/>
  <c r="S42" i="75"/>
  <c r="E42" i="75"/>
  <c r="D42" i="75"/>
  <c r="C42" i="75"/>
  <c r="W41" i="75"/>
  <c r="V41" i="75"/>
  <c r="U41" i="75"/>
  <c r="S41" i="75"/>
  <c r="E41" i="75"/>
  <c r="D41" i="75"/>
  <c r="C41" i="75"/>
  <c r="W40" i="75"/>
  <c r="V40" i="75"/>
  <c r="U40" i="75"/>
  <c r="S40" i="75"/>
  <c r="E40" i="75"/>
  <c r="D40" i="75"/>
  <c r="C40" i="75"/>
  <c r="W39" i="75"/>
  <c r="V39" i="75"/>
  <c r="U39" i="75"/>
  <c r="S39" i="75"/>
  <c r="E39" i="75"/>
  <c r="D39" i="75"/>
  <c r="C39" i="75"/>
  <c r="W38" i="75"/>
  <c r="V38" i="75"/>
  <c r="U38" i="75"/>
  <c r="S38" i="75"/>
  <c r="E38" i="75"/>
  <c r="D38" i="75"/>
  <c r="C38" i="75"/>
  <c r="W37" i="75"/>
  <c r="V37" i="75"/>
  <c r="U37" i="75"/>
  <c r="S37" i="75"/>
  <c r="E37" i="75"/>
  <c r="D37" i="75"/>
  <c r="C37" i="75"/>
  <c r="W36" i="75"/>
  <c r="V36" i="75"/>
  <c r="U36" i="75"/>
  <c r="S36" i="75"/>
  <c r="E36" i="75"/>
  <c r="D36" i="75"/>
  <c r="C36" i="75"/>
  <c r="W35" i="75"/>
  <c r="V35" i="75"/>
  <c r="U35" i="75"/>
  <c r="S35" i="75"/>
  <c r="E35" i="75"/>
  <c r="D35" i="75"/>
  <c r="C35" i="75"/>
  <c r="W34" i="75"/>
  <c r="V34" i="75"/>
  <c r="U34" i="75"/>
  <c r="S34" i="75"/>
  <c r="E34" i="75"/>
  <c r="D34" i="75"/>
  <c r="C34" i="75"/>
  <c r="W33" i="75"/>
  <c r="V33" i="75"/>
  <c r="U33" i="75"/>
  <c r="S33" i="75"/>
  <c r="E33" i="75"/>
  <c r="D33" i="75"/>
  <c r="C33" i="75"/>
  <c r="W32" i="75"/>
  <c r="V32" i="75"/>
  <c r="U32" i="75"/>
  <c r="S32" i="75"/>
  <c r="E32" i="75"/>
  <c r="D32" i="75"/>
  <c r="C32" i="75"/>
  <c r="W31" i="75"/>
  <c r="V31" i="75"/>
  <c r="U31" i="75"/>
  <c r="S31" i="75"/>
  <c r="E31" i="75"/>
  <c r="D31" i="75"/>
  <c r="C31" i="75"/>
  <c r="W30" i="75"/>
  <c r="V30" i="75"/>
  <c r="U30" i="75"/>
  <c r="E26" i="75"/>
  <c r="D26" i="75"/>
  <c r="C26" i="75"/>
  <c r="W29" i="75"/>
  <c r="V29" i="75"/>
  <c r="U29" i="75"/>
  <c r="E30" i="75"/>
  <c r="D30" i="75"/>
  <c r="C30" i="75"/>
  <c r="W28" i="75"/>
  <c r="V28" i="75"/>
  <c r="U28" i="75"/>
  <c r="E28" i="75"/>
  <c r="D28" i="75"/>
  <c r="C28" i="75"/>
  <c r="W27" i="75"/>
  <c r="V27" i="75"/>
  <c r="U27" i="75"/>
  <c r="E25" i="75"/>
  <c r="D25" i="75"/>
  <c r="C25" i="75"/>
  <c r="AA26" i="75"/>
  <c r="W26" i="75"/>
  <c r="V26" i="75"/>
  <c r="U26" i="75"/>
  <c r="E29" i="75"/>
  <c r="D29" i="75"/>
  <c r="C29" i="75"/>
  <c r="AA25" i="75"/>
  <c r="W25" i="75"/>
  <c r="V25" i="75"/>
  <c r="U25" i="75"/>
  <c r="E27" i="75"/>
  <c r="D27" i="75"/>
  <c r="C27" i="75"/>
  <c r="AA24" i="75"/>
  <c r="W24" i="75"/>
  <c r="V24" i="75"/>
  <c r="U24" i="75"/>
  <c r="E24" i="75"/>
  <c r="D24" i="75"/>
  <c r="C24" i="75"/>
  <c r="AA23" i="75"/>
  <c r="W23" i="75"/>
  <c r="V23" i="75"/>
  <c r="U23" i="75"/>
  <c r="E23" i="75"/>
  <c r="D23" i="75"/>
  <c r="C23" i="75"/>
  <c r="AA22" i="75"/>
  <c r="W22" i="75"/>
  <c r="V22" i="75"/>
  <c r="U22" i="75"/>
  <c r="E22" i="75"/>
  <c r="D22" i="75"/>
  <c r="C22" i="75"/>
  <c r="AA21" i="75"/>
  <c r="W21" i="75"/>
  <c r="V21" i="75"/>
  <c r="U21" i="75"/>
  <c r="E20" i="75"/>
  <c r="D20" i="75"/>
  <c r="C20" i="75"/>
  <c r="AA20" i="75"/>
  <c r="W20" i="75"/>
  <c r="V20" i="75"/>
  <c r="U20" i="75"/>
  <c r="E21" i="75"/>
  <c r="D21" i="75"/>
  <c r="C21" i="75"/>
  <c r="AA19" i="75"/>
  <c r="W19" i="75"/>
  <c r="V19" i="75"/>
  <c r="U19" i="75"/>
  <c r="E19" i="75"/>
  <c r="D19" i="75"/>
  <c r="C19" i="75"/>
  <c r="AA18" i="75"/>
  <c r="W18" i="75"/>
  <c r="V18" i="75"/>
  <c r="U18" i="75"/>
  <c r="E18" i="75"/>
  <c r="D18" i="75"/>
  <c r="C18" i="75"/>
  <c r="AA17" i="75"/>
  <c r="W17" i="75"/>
  <c r="V17" i="75"/>
  <c r="U17" i="75"/>
  <c r="E17" i="75"/>
  <c r="D17" i="75"/>
  <c r="C17" i="75"/>
  <c r="AA16" i="75"/>
  <c r="W16" i="75"/>
  <c r="V16" i="75"/>
  <c r="U16" i="75"/>
  <c r="E16" i="75"/>
  <c r="D16" i="75"/>
  <c r="C16" i="75"/>
  <c r="AA15" i="75"/>
  <c r="W15" i="75"/>
  <c r="V15" i="75"/>
  <c r="U15" i="75"/>
  <c r="E15" i="75"/>
  <c r="D15" i="75"/>
  <c r="C15" i="75"/>
  <c r="AA14" i="75"/>
  <c r="W14" i="75"/>
  <c r="V14" i="75"/>
  <c r="U14" i="75"/>
  <c r="E14" i="75"/>
  <c r="D14" i="75"/>
  <c r="C14" i="75"/>
  <c r="AA13" i="75"/>
  <c r="W13" i="75"/>
  <c r="V13" i="75"/>
  <c r="U13" i="75"/>
  <c r="E13" i="75"/>
  <c r="D13" i="75"/>
  <c r="C13" i="75"/>
  <c r="AA12" i="75"/>
  <c r="W12" i="75"/>
  <c r="V12" i="75"/>
  <c r="U12" i="75"/>
  <c r="S12" i="75"/>
  <c r="E12" i="75"/>
  <c r="D12" i="75"/>
  <c r="C12" i="75"/>
  <c r="S4" i="75"/>
  <c r="A2" i="75"/>
  <c r="A1" i="75"/>
  <c r="D202" i="52"/>
  <c r="D203" i="52"/>
  <c r="D204" i="52"/>
  <c r="D205" i="52"/>
  <c r="D206" i="52"/>
  <c r="D207" i="52"/>
  <c r="D208" i="52"/>
  <c r="D209" i="52"/>
  <c r="D210" i="52"/>
  <c r="D211" i="52"/>
  <c r="D212" i="52"/>
  <c r="D213" i="52"/>
  <c r="D214" i="52"/>
  <c r="D215" i="52"/>
  <c r="D216" i="52"/>
  <c r="D217" i="52"/>
  <c r="D218" i="52"/>
  <c r="D201" i="52"/>
  <c r="I13" i="52"/>
  <c r="I12" i="52"/>
  <c r="J13" i="52"/>
  <c r="I41" i="52"/>
  <c r="J41" i="52"/>
  <c r="I76" i="52"/>
  <c r="J76" i="52"/>
  <c r="I33" i="52"/>
  <c r="J33" i="52"/>
  <c r="I64" i="52"/>
  <c r="J64" i="52"/>
  <c r="I29" i="52"/>
  <c r="J29" i="52"/>
  <c r="I54" i="52"/>
  <c r="J54" i="52"/>
  <c r="I120" i="52"/>
  <c r="J120" i="52"/>
  <c r="I100" i="52"/>
  <c r="J100" i="52"/>
  <c r="I114" i="52"/>
  <c r="J114" i="52"/>
  <c r="I21" i="52"/>
  <c r="J21" i="52"/>
  <c r="I109" i="52"/>
  <c r="J109" i="52"/>
  <c r="I71" i="52"/>
  <c r="J71" i="52"/>
  <c r="I115" i="52"/>
  <c r="J115" i="52"/>
  <c r="I116" i="52"/>
  <c r="J116" i="52"/>
  <c r="I49" i="52"/>
  <c r="J49" i="52"/>
  <c r="I69" i="52"/>
  <c r="J69" i="52"/>
  <c r="I88" i="52"/>
  <c r="J88" i="52"/>
  <c r="I43" i="52"/>
  <c r="J43" i="52"/>
  <c r="I113" i="52"/>
  <c r="J113" i="52"/>
  <c r="I47" i="52"/>
  <c r="J47" i="52"/>
  <c r="I87" i="52"/>
  <c r="J87" i="52"/>
  <c r="I97" i="52"/>
  <c r="J97" i="52"/>
  <c r="I42" i="52"/>
  <c r="J42" i="52"/>
  <c r="I102" i="52"/>
  <c r="J102" i="52"/>
  <c r="I105" i="52"/>
  <c r="J105" i="52"/>
  <c r="I61" i="52"/>
  <c r="J61" i="52"/>
  <c r="I117" i="52"/>
  <c r="J117" i="52"/>
  <c r="I98" i="52"/>
  <c r="J98" i="52"/>
  <c r="I60" i="52"/>
  <c r="J60" i="52"/>
  <c r="I127" i="52"/>
  <c r="J127" i="52"/>
  <c r="I122" i="52"/>
  <c r="J122" i="52"/>
  <c r="I44" i="52"/>
  <c r="J44" i="52"/>
  <c r="I45" i="52"/>
  <c r="J45" i="52"/>
  <c r="I110" i="52"/>
  <c r="J110" i="52"/>
  <c r="I73" i="52"/>
  <c r="J73" i="52"/>
  <c r="I81" i="52"/>
  <c r="J81" i="52"/>
  <c r="I77" i="52"/>
  <c r="J77" i="52"/>
  <c r="I125" i="52"/>
  <c r="J125" i="52"/>
  <c r="I66" i="52"/>
  <c r="J66" i="52"/>
  <c r="I83" i="52"/>
  <c r="J83" i="52"/>
  <c r="I52" i="52"/>
  <c r="J52" i="52"/>
  <c r="I84" i="52"/>
  <c r="J84" i="52"/>
  <c r="I111" i="52"/>
  <c r="J111" i="52"/>
  <c r="I55" i="52"/>
  <c r="J55" i="52"/>
  <c r="I48" i="52"/>
  <c r="J48" i="52"/>
  <c r="I104" i="52"/>
  <c r="J104" i="52"/>
  <c r="I118" i="52"/>
  <c r="J118" i="52"/>
  <c r="I126" i="52"/>
  <c r="J126" i="52"/>
  <c r="I106" i="52"/>
  <c r="J106" i="52"/>
  <c r="I129" i="52"/>
  <c r="J129" i="52"/>
  <c r="I99" i="52"/>
  <c r="J99" i="52"/>
  <c r="I96" i="52"/>
  <c r="J96" i="52"/>
  <c r="I92" i="52"/>
  <c r="J92" i="52"/>
  <c r="I26" i="52"/>
  <c r="J26" i="52"/>
  <c r="I57" i="52"/>
  <c r="J57" i="52"/>
  <c r="I30" i="52"/>
  <c r="J30" i="52"/>
  <c r="I15" i="52"/>
  <c r="J15" i="52"/>
  <c r="I62" i="52"/>
  <c r="J62" i="52"/>
  <c r="I108" i="52"/>
  <c r="J108" i="52"/>
  <c r="I50" i="52"/>
  <c r="J50" i="52"/>
  <c r="I67" i="52"/>
  <c r="J67" i="52"/>
  <c r="I34" i="52"/>
  <c r="J34" i="52"/>
  <c r="I128" i="52"/>
  <c r="J128" i="52"/>
  <c r="I82" i="52"/>
  <c r="J82" i="52"/>
  <c r="I37" i="52"/>
  <c r="J37" i="52"/>
  <c r="I93" i="52"/>
  <c r="J93" i="52"/>
  <c r="I23" i="52"/>
  <c r="J23" i="52"/>
  <c r="I74" i="52"/>
  <c r="J74" i="52"/>
  <c r="I22" i="52"/>
  <c r="J22" i="52"/>
  <c r="I78" i="52"/>
  <c r="J78" i="52"/>
  <c r="I19" i="52"/>
  <c r="J19" i="52"/>
  <c r="J12" i="52"/>
  <c r="I25" i="52"/>
  <c r="J25" i="52"/>
  <c r="I121" i="52"/>
  <c r="J121" i="52"/>
  <c r="I51" i="52"/>
  <c r="J51" i="52"/>
  <c r="I35" i="52"/>
  <c r="J35" i="52"/>
  <c r="I86" i="52"/>
  <c r="J86" i="52"/>
  <c r="I112" i="52"/>
  <c r="J112" i="52"/>
  <c r="I17" i="52"/>
  <c r="J17" i="52"/>
  <c r="I80" i="52"/>
  <c r="J80" i="52"/>
  <c r="I58" i="52"/>
  <c r="J58" i="52"/>
  <c r="I124" i="52"/>
  <c r="J124" i="52"/>
  <c r="I63" i="52"/>
  <c r="J63" i="52"/>
  <c r="I28" i="52"/>
  <c r="J28" i="52"/>
  <c r="I95" i="52"/>
  <c r="J95" i="52"/>
  <c r="I90" i="52"/>
  <c r="J90" i="52"/>
  <c r="I14" i="52"/>
  <c r="J14" i="52"/>
  <c r="I91" i="52"/>
  <c r="J91" i="52"/>
  <c r="I94" i="52"/>
  <c r="J94" i="52"/>
  <c r="I65" i="52"/>
  <c r="J65" i="52"/>
  <c r="I31" i="52"/>
  <c r="J31" i="52"/>
  <c r="I53" i="52"/>
  <c r="J53" i="52"/>
  <c r="I70" i="52"/>
  <c r="J70" i="52"/>
  <c r="I18" i="52"/>
  <c r="J18" i="52"/>
  <c r="I20" i="52"/>
  <c r="J20" i="52"/>
  <c r="I89" i="52"/>
  <c r="J89" i="52"/>
  <c r="I119" i="52"/>
  <c r="J119" i="52"/>
  <c r="I59" i="52"/>
  <c r="J59" i="52"/>
  <c r="I32" i="52"/>
  <c r="J32" i="52"/>
  <c r="I56" i="52"/>
  <c r="J56" i="52"/>
  <c r="I46" i="52"/>
  <c r="J46" i="52"/>
  <c r="I75" i="52"/>
  <c r="J75" i="52"/>
  <c r="I27" i="52"/>
  <c r="J27" i="52"/>
  <c r="I40" i="52"/>
  <c r="J40" i="52"/>
  <c r="I36" i="52"/>
  <c r="J36" i="52"/>
  <c r="I101" i="52"/>
  <c r="J101" i="52"/>
  <c r="I39" i="52"/>
  <c r="J39" i="52"/>
  <c r="I68" i="52"/>
  <c r="J68" i="52"/>
  <c r="I16" i="52"/>
  <c r="J16" i="52"/>
  <c r="I79" i="52"/>
  <c r="J79" i="52"/>
  <c r="I72" i="52"/>
  <c r="J72" i="52"/>
  <c r="I24" i="52"/>
  <c r="J24" i="52"/>
  <c r="I103" i="52"/>
  <c r="J103" i="52"/>
  <c r="I107" i="52"/>
  <c r="J107" i="52"/>
  <c r="I38" i="52"/>
  <c r="J38" i="52"/>
  <c r="I123" i="52"/>
  <c r="J123" i="52"/>
  <c r="I85" i="52"/>
  <c r="J85" i="52"/>
  <c r="C13" i="52"/>
  <c r="D13" i="52"/>
  <c r="E13" i="52"/>
  <c r="F13" i="52"/>
  <c r="G13" i="52"/>
  <c r="H13" i="52"/>
  <c r="C41" i="52"/>
  <c r="D41" i="52"/>
  <c r="E41" i="52"/>
  <c r="F41" i="52"/>
  <c r="G41" i="52"/>
  <c r="H41" i="52"/>
  <c r="C76" i="52"/>
  <c r="D76" i="52"/>
  <c r="E76" i="52"/>
  <c r="F76" i="52"/>
  <c r="G76" i="52"/>
  <c r="H76" i="52"/>
  <c r="C33" i="52"/>
  <c r="D33" i="52"/>
  <c r="E33" i="52"/>
  <c r="F33" i="52"/>
  <c r="G33" i="52"/>
  <c r="H33" i="52"/>
  <c r="C64" i="52"/>
  <c r="D64" i="52"/>
  <c r="E64" i="52"/>
  <c r="F64" i="52"/>
  <c r="G64" i="52"/>
  <c r="H64" i="52"/>
  <c r="C29" i="52"/>
  <c r="D29" i="52"/>
  <c r="E29" i="52"/>
  <c r="F29" i="52"/>
  <c r="G29" i="52"/>
  <c r="H29" i="52"/>
  <c r="C54" i="52"/>
  <c r="D54" i="52"/>
  <c r="E54" i="52"/>
  <c r="F54" i="52"/>
  <c r="G54" i="52"/>
  <c r="H54" i="52"/>
  <c r="C120" i="52"/>
  <c r="D120" i="52"/>
  <c r="E120" i="52"/>
  <c r="F120" i="52"/>
  <c r="G120" i="52"/>
  <c r="H120" i="52"/>
  <c r="C100" i="52"/>
  <c r="D100" i="52"/>
  <c r="E100" i="52"/>
  <c r="F100" i="52"/>
  <c r="G100" i="52"/>
  <c r="H100" i="52"/>
  <c r="C114" i="52"/>
  <c r="D114" i="52"/>
  <c r="E114" i="52"/>
  <c r="F114" i="52"/>
  <c r="G114" i="52"/>
  <c r="H114" i="52"/>
  <c r="C21" i="52"/>
  <c r="D21" i="52"/>
  <c r="E21" i="52"/>
  <c r="F21" i="52"/>
  <c r="G21" i="52"/>
  <c r="H21" i="52"/>
  <c r="C109" i="52"/>
  <c r="D109" i="52"/>
  <c r="E109" i="52"/>
  <c r="F109" i="52"/>
  <c r="G109" i="52"/>
  <c r="H109" i="52"/>
  <c r="C71" i="52"/>
  <c r="D71" i="52"/>
  <c r="E71" i="52"/>
  <c r="F71" i="52"/>
  <c r="G71" i="52"/>
  <c r="H71" i="52"/>
  <c r="C115" i="52"/>
  <c r="D115" i="52"/>
  <c r="E115" i="52"/>
  <c r="F115" i="52"/>
  <c r="G115" i="52"/>
  <c r="H115" i="52"/>
  <c r="C116" i="52"/>
  <c r="D116" i="52"/>
  <c r="E116" i="52"/>
  <c r="F116" i="52"/>
  <c r="G116" i="52"/>
  <c r="H116" i="52"/>
  <c r="C49" i="52"/>
  <c r="D49" i="52"/>
  <c r="E49" i="52"/>
  <c r="F49" i="52"/>
  <c r="G49" i="52"/>
  <c r="H49" i="52"/>
  <c r="C69" i="52"/>
  <c r="D69" i="52"/>
  <c r="E69" i="52"/>
  <c r="F69" i="52"/>
  <c r="G69" i="52"/>
  <c r="H69" i="52"/>
  <c r="C88" i="52"/>
  <c r="D88" i="52"/>
  <c r="E88" i="52"/>
  <c r="F88" i="52"/>
  <c r="G88" i="52"/>
  <c r="H88" i="52"/>
  <c r="C43" i="52"/>
  <c r="D43" i="52"/>
  <c r="E43" i="52"/>
  <c r="F43" i="52"/>
  <c r="G43" i="52"/>
  <c r="H43" i="52"/>
  <c r="C113" i="52"/>
  <c r="D113" i="52"/>
  <c r="E113" i="52"/>
  <c r="F113" i="52"/>
  <c r="G113" i="52"/>
  <c r="H113" i="52"/>
  <c r="C47" i="52"/>
  <c r="D47" i="52"/>
  <c r="E47" i="52"/>
  <c r="F47" i="52"/>
  <c r="G47" i="52"/>
  <c r="H47" i="52"/>
  <c r="C87" i="52"/>
  <c r="D87" i="52"/>
  <c r="E87" i="52"/>
  <c r="F87" i="52"/>
  <c r="G87" i="52"/>
  <c r="H87" i="52"/>
  <c r="C97" i="52"/>
  <c r="D97" i="52"/>
  <c r="E97" i="52"/>
  <c r="F97" i="52"/>
  <c r="G97" i="52"/>
  <c r="H97" i="52"/>
  <c r="C131" i="52"/>
  <c r="D131" i="52"/>
  <c r="E131" i="52"/>
  <c r="F131" i="52"/>
  <c r="G131" i="52"/>
  <c r="H131" i="52"/>
  <c r="C42" i="52"/>
  <c r="D42" i="52"/>
  <c r="E42" i="52"/>
  <c r="F42" i="52"/>
  <c r="G42" i="52"/>
  <c r="H42" i="52"/>
  <c r="C102" i="52"/>
  <c r="D102" i="52"/>
  <c r="E102" i="52"/>
  <c r="F102" i="52"/>
  <c r="G102" i="52"/>
  <c r="H102" i="52"/>
  <c r="C105" i="52"/>
  <c r="D105" i="52"/>
  <c r="E105" i="52"/>
  <c r="F105" i="52"/>
  <c r="G105" i="52"/>
  <c r="H105" i="52"/>
  <c r="C61" i="52"/>
  <c r="D61" i="52"/>
  <c r="E61" i="52"/>
  <c r="F61" i="52"/>
  <c r="G61" i="52"/>
  <c r="H61" i="52"/>
  <c r="C117" i="52"/>
  <c r="D117" i="52"/>
  <c r="E117" i="52"/>
  <c r="F117" i="52"/>
  <c r="G117" i="52"/>
  <c r="H117" i="52"/>
  <c r="C98" i="52"/>
  <c r="D98" i="52"/>
  <c r="E98" i="52"/>
  <c r="F98" i="52"/>
  <c r="G98" i="52"/>
  <c r="H98" i="52"/>
  <c r="C60" i="52"/>
  <c r="D60" i="52"/>
  <c r="E60" i="52"/>
  <c r="F60" i="52"/>
  <c r="G60" i="52"/>
  <c r="H60" i="52"/>
  <c r="C127" i="52"/>
  <c r="D127" i="52"/>
  <c r="E127" i="52"/>
  <c r="F127" i="52"/>
  <c r="G127" i="52"/>
  <c r="H127" i="52"/>
  <c r="C122" i="52"/>
  <c r="D122" i="52"/>
  <c r="E122" i="52"/>
  <c r="F122" i="52"/>
  <c r="G122" i="52"/>
  <c r="H122" i="52"/>
  <c r="C44" i="52"/>
  <c r="D44" i="52"/>
  <c r="E44" i="52"/>
  <c r="F44" i="52"/>
  <c r="G44" i="52"/>
  <c r="H44" i="52"/>
  <c r="C45" i="52"/>
  <c r="D45" i="52"/>
  <c r="E45" i="52"/>
  <c r="F45" i="52"/>
  <c r="G45" i="52"/>
  <c r="H45" i="52"/>
  <c r="C110" i="52"/>
  <c r="D110" i="52"/>
  <c r="E110" i="52"/>
  <c r="F110" i="52"/>
  <c r="G110" i="52"/>
  <c r="H110" i="52"/>
  <c r="C73" i="52"/>
  <c r="D73" i="52"/>
  <c r="E73" i="52"/>
  <c r="F73" i="52"/>
  <c r="G73" i="52"/>
  <c r="H73" i="52"/>
  <c r="C81" i="52"/>
  <c r="D81" i="52"/>
  <c r="E81" i="52"/>
  <c r="F81" i="52"/>
  <c r="G81" i="52"/>
  <c r="H81" i="52"/>
  <c r="C77" i="52"/>
  <c r="D77" i="52"/>
  <c r="E77" i="52"/>
  <c r="F77" i="52"/>
  <c r="G77" i="52"/>
  <c r="H77" i="52"/>
  <c r="C125" i="52"/>
  <c r="D125" i="52"/>
  <c r="E125" i="52"/>
  <c r="F125" i="52"/>
  <c r="G125" i="52"/>
  <c r="H125" i="52"/>
  <c r="C66" i="52"/>
  <c r="D66" i="52"/>
  <c r="E66" i="52"/>
  <c r="F66" i="52"/>
  <c r="G66" i="52"/>
  <c r="H66" i="52"/>
  <c r="C83" i="52"/>
  <c r="D83" i="52"/>
  <c r="E83" i="52"/>
  <c r="F83" i="52"/>
  <c r="G83" i="52"/>
  <c r="H83" i="52"/>
  <c r="C52" i="52"/>
  <c r="D52" i="52"/>
  <c r="E52" i="52"/>
  <c r="F52" i="52"/>
  <c r="G52" i="52"/>
  <c r="H52" i="52"/>
  <c r="C84" i="52"/>
  <c r="D84" i="52"/>
  <c r="E84" i="52"/>
  <c r="F84" i="52"/>
  <c r="G84" i="52"/>
  <c r="H84" i="52"/>
  <c r="C111" i="52"/>
  <c r="D111" i="52"/>
  <c r="E111" i="52"/>
  <c r="F111" i="52"/>
  <c r="G111" i="52"/>
  <c r="H111" i="52"/>
  <c r="C132" i="52"/>
  <c r="D132" i="52"/>
  <c r="E132" i="52"/>
  <c r="F132" i="52"/>
  <c r="G132" i="52"/>
  <c r="H132" i="52"/>
  <c r="C55" i="52"/>
  <c r="D55" i="52"/>
  <c r="E55" i="52"/>
  <c r="F55" i="52"/>
  <c r="G55" i="52"/>
  <c r="H55" i="52"/>
  <c r="C48" i="52"/>
  <c r="D48" i="52"/>
  <c r="E48" i="52"/>
  <c r="F48" i="52"/>
  <c r="G48" i="52"/>
  <c r="H48" i="52"/>
  <c r="C133" i="52"/>
  <c r="D133" i="52"/>
  <c r="E133" i="52"/>
  <c r="F133" i="52"/>
  <c r="G133" i="52"/>
  <c r="H133" i="52"/>
  <c r="C104" i="52"/>
  <c r="D104" i="52"/>
  <c r="E104" i="52"/>
  <c r="F104" i="52"/>
  <c r="G104" i="52"/>
  <c r="H104" i="52"/>
  <c r="C134" i="52"/>
  <c r="D134" i="52"/>
  <c r="E134" i="52"/>
  <c r="F134" i="52"/>
  <c r="G134" i="52"/>
  <c r="H134" i="52"/>
  <c r="C118" i="52"/>
  <c r="D118" i="52"/>
  <c r="E118" i="52"/>
  <c r="F118" i="52"/>
  <c r="G118" i="52"/>
  <c r="H118" i="52"/>
  <c r="C126" i="52"/>
  <c r="D126" i="52"/>
  <c r="E126" i="52"/>
  <c r="F126" i="52"/>
  <c r="G126" i="52"/>
  <c r="H126" i="52"/>
  <c r="C106" i="52"/>
  <c r="D106" i="52"/>
  <c r="E106" i="52"/>
  <c r="F106" i="52"/>
  <c r="G106" i="52"/>
  <c r="H106" i="52"/>
  <c r="C129" i="52"/>
  <c r="D129" i="52"/>
  <c r="E129" i="52"/>
  <c r="F129" i="52"/>
  <c r="G129" i="52"/>
  <c r="H129" i="52"/>
  <c r="C99" i="52"/>
  <c r="D99" i="52"/>
  <c r="E99" i="52"/>
  <c r="F99" i="52"/>
  <c r="G99" i="52"/>
  <c r="H99" i="52"/>
  <c r="C96" i="52"/>
  <c r="D96" i="52"/>
  <c r="E96" i="52"/>
  <c r="F96" i="52"/>
  <c r="G96" i="52"/>
  <c r="H96" i="52"/>
  <c r="C92" i="52"/>
  <c r="D92" i="52"/>
  <c r="E92" i="52"/>
  <c r="F92" i="52"/>
  <c r="G92" i="52"/>
  <c r="H92" i="52"/>
  <c r="C26" i="52"/>
  <c r="D26" i="52"/>
  <c r="E26" i="52"/>
  <c r="F26" i="52"/>
  <c r="G26" i="52"/>
  <c r="H26" i="52"/>
  <c r="C57" i="52"/>
  <c r="D57" i="52"/>
  <c r="E57" i="52"/>
  <c r="F57" i="52"/>
  <c r="G57" i="52"/>
  <c r="H57" i="52"/>
  <c r="C30" i="52"/>
  <c r="D30" i="52"/>
  <c r="E30" i="52"/>
  <c r="F30" i="52"/>
  <c r="G30" i="52"/>
  <c r="H30" i="52"/>
  <c r="C135" i="52"/>
  <c r="D135" i="52"/>
  <c r="E135" i="52"/>
  <c r="F135" i="52"/>
  <c r="G135" i="52"/>
  <c r="H135" i="52"/>
  <c r="C136" i="52"/>
  <c r="D136" i="52"/>
  <c r="E136" i="52"/>
  <c r="F136" i="52"/>
  <c r="G136" i="52"/>
  <c r="H136" i="52"/>
  <c r="C15" i="52"/>
  <c r="D15" i="52"/>
  <c r="E15" i="52"/>
  <c r="F15" i="52"/>
  <c r="G15" i="52"/>
  <c r="H15" i="52"/>
  <c r="C62" i="52"/>
  <c r="D62" i="52"/>
  <c r="E62" i="52"/>
  <c r="F62" i="52"/>
  <c r="G62" i="52"/>
  <c r="H62" i="52"/>
  <c r="C108" i="52"/>
  <c r="D108" i="52"/>
  <c r="E108" i="52"/>
  <c r="F108" i="52"/>
  <c r="G108" i="52"/>
  <c r="H108" i="52"/>
  <c r="C50" i="52"/>
  <c r="D50" i="52"/>
  <c r="E50" i="52"/>
  <c r="F50" i="52"/>
  <c r="G50" i="52"/>
  <c r="H50" i="52"/>
  <c r="C67" i="52"/>
  <c r="D67" i="52"/>
  <c r="E67" i="52"/>
  <c r="F67" i="52"/>
  <c r="G67" i="52"/>
  <c r="H67" i="52"/>
  <c r="C137" i="52"/>
  <c r="D137" i="52"/>
  <c r="E137" i="52"/>
  <c r="F137" i="52"/>
  <c r="G137" i="52"/>
  <c r="H137" i="52"/>
  <c r="C34" i="52"/>
  <c r="D34" i="52"/>
  <c r="E34" i="52"/>
  <c r="F34" i="52"/>
  <c r="G34" i="52"/>
  <c r="H34" i="52"/>
  <c r="C138" i="52"/>
  <c r="D138" i="52"/>
  <c r="E138" i="52"/>
  <c r="F138" i="52"/>
  <c r="G138" i="52"/>
  <c r="H138" i="52"/>
  <c r="C128" i="52"/>
  <c r="D128" i="52"/>
  <c r="E128" i="52"/>
  <c r="F128" i="52"/>
  <c r="G128" i="52"/>
  <c r="H128" i="52"/>
  <c r="C139" i="52"/>
  <c r="D139" i="52"/>
  <c r="E139" i="52"/>
  <c r="F139" i="52"/>
  <c r="G139" i="52"/>
  <c r="H139" i="52"/>
  <c r="C82" i="52"/>
  <c r="D82" i="52"/>
  <c r="E82" i="52"/>
  <c r="F82" i="52"/>
  <c r="G82" i="52"/>
  <c r="H82" i="52"/>
  <c r="C37" i="52"/>
  <c r="D37" i="52"/>
  <c r="E37" i="52"/>
  <c r="F37" i="52"/>
  <c r="G37" i="52"/>
  <c r="H37" i="52"/>
  <c r="C93" i="52"/>
  <c r="D93" i="52"/>
  <c r="E93" i="52"/>
  <c r="F93" i="52"/>
  <c r="G93" i="52"/>
  <c r="H93" i="52"/>
  <c r="C23" i="52"/>
  <c r="D23" i="52"/>
  <c r="E23" i="52"/>
  <c r="F23" i="52"/>
  <c r="G23" i="52"/>
  <c r="H23" i="52"/>
  <c r="C74" i="52"/>
  <c r="D74" i="52"/>
  <c r="E74" i="52"/>
  <c r="F74" i="52"/>
  <c r="G74" i="52"/>
  <c r="H74" i="52"/>
  <c r="C22" i="52"/>
  <c r="D22" i="52"/>
  <c r="E22" i="52"/>
  <c r="F22" i="52"/>
  <c r="G22" i="52"/>
  <c r="H22" i="52"/>
  <c r="C78" i="52"/>
  <c r="D78" i="52"/>
  <c r="E78" i="52"/>
  <c r="F78" i="52"/>
  <c r="G78" i="52"/>
  <c r="H78" i="52"/>
  <c r="C19" i="52"/>
  <c r="D19" i="52"/>
  <c r="E19" i="52"/>
  <c r="F19" i="52"/>
  <c r="G19" i="52"/>
  <c r="H19" i="52"/>
  <c r="C12" i="52"/>
  <c r="D12" i="52"/>
  <c r="E12" i="52"/>
  <c r="F12" i="52"/>
  <c r="G12" i="52"/>
  <c r="H12" i="52"/>
  <c r="C25" i="52"/>
  <c r="D25" i="52"/>
  <c r="E25" i="52"/>
  <c r="F25" i="52"/>
  <c r="G25" i="52"/>
  <c r="H25" i="52"/>
  <c r="C140" i="52"/>
  <c r="D140" i="52"/>
  <c r="E140" i="52"/>
  <c r="F140" i="52"/>
  <c r="G140" i="52"/>
  <c r="H140" i="52"/>
  <c r="C121" i="52"/>
  <c r="D121" i="52"/>
  <c r="E121" i="52"/>
  <c r="F121" i="52"/>
  <c r="G121" i="52"/>
  <c r="H121" i="52"/>
  <c r="C51" i="52"/>
  <c r="D51" i="52"/>
  <c r="E51" i="52"/>
  <c r="F51" i="52"/>
  <c r="G51" i="52"/>
  <c r="H51" i="52"/>
  <c r="C35" i="52"/>
  <c r="D35" i="52"/>
  <c r="E35" i="52"/>
  <c r="F35" i="52"/>
  <c r="G35" i="52"/>
  <c r="H35" i="52"/>
  <c r="C86" i="52"/>
  <c r="D86" i="52"/>
  <c r="E86" i="52"/>
  <c r="F86" i="52"/>
  <c r="G86" i="52"/>
  <c r="H86" i="52"/>
  <c r="C112" i="52"/>
  <c r="D112" i="52"/>
  <c r="E112" i="52"/>
  <c r="F112" i="52"/>
  <c r="G112" i="52"/>
  <c r="H112" i="52"/>
  <c r="C17" i="52"/>
  <c r="D17" i="52"/>
  <c r="E17" i="52"/>
  <c r="F17" i="52"/>
  <c r="G17" i="52"/>
  <c r="H17" i="52"/>
  <c r="C80" i="52"/>
  <c r="D80" i="52"/>
  <c r="E80" i="52"/>
  <c r="F80" i="52"/>
  <c r="G80" i="52"/>
  <c r="H80" i="52"/>
  <c r="C58" i="52"/>
  <c r="D58" i="52"/>
  <c r="E58" i="52"/>
  <c r="F58" i="52"/>
  <c r="G58" i="52"/>
  <c r="H58" i="52"/>
  <c r="C124" i="52"/>
  <c r="D124" i="52"/>
  <c r="E124" i="52"/>
  <c r="F124" i="52"/>
  <c r="G124" i="52"/>
  <c r="H124" i="52"/>
  <c r="C63" i="52"/>
  <c r="D63" i="52"/>
  <c r="E63" i="52"/>
  <c r="F63" i="52"/>
  <c r="G63" i="52"/>
  <c r="H63" i="52"/>
  <c r="C28" i="52"/>
  <c r="D28" i="52"/>
  <c r="E28" i="52"/>
  <c r="F28" i="52"/>
  <c r="G28" i="52"/>
  <c r="H28" i="52"/>
  <c r="C141" i="52"/>
  <c r="D141" i="52"/>
  <c r="E141" i="52"/>
  <c r="F141" i="52"/>
  <c r="G141" i="52"/>
  <c r="H141" i="52"/>
  <c r="C95" i="52"/>
  <c r="D95" i="52"/>
  <c r="E95" i="52"/>
  <c r="F95" i="52"/>
  <c r="G95" i="52"/>
  <c r="H95" i="52"/>
  <c r="C90" i="52"/>
  <c r="D90" i="52"/>
  <c r="E90" i="52"/>
  <c r="F90" i="52"/>
  <c r="G90" i="52"/>
  <c r="H90" i="52"/>
  <c r="C14" i="52"/>
  <c r="D14" i="52"/>
  <c r="E14" i="52"/>
  <c r="F14" i="52"/>
  <c r="G14" i="52"/>
  <c r="H14" i="52"/>
  <c r="C91" i="52"/>
  <c r="D91" i="52"/>
  <c r="E91" i="52"/>
  <c r="F91" i="52"/>
  <c r="G91" i="52"/>
  <c r="H91" i="52"/>
  <c r="C94" i="52"/>
  <c r="D94" i="52"/>
  <c r="E94" i="52"/>
  <c r="F94" i="52"/>
  <c r="G94" i="52"/>
  <c r="H94" i="52"/>
  <c r="C65" i="52"/>
  <c r="D65" i="52"/>
  <c r="E65" i="52"/>
  <c r="F65" i="52"/>
  <c r="G65" i="52"/>
  <c r="H65" i="52"/>
  <c r="C31" i="52"/>
  <c r="D31" i="52"/>
  <c r="E31" i="52"/>
  <c r="F31" i="52"/>
  <c r="G31" i="52"/>
  <c r="H31" i="52"/>
  <c r="C53" i="52"/>
  <c r="D53" i="52"/>
  <c r="E53" i="52"/>
  <c r="F53" i="52"/>
  <c r="G53" i="52"/>
  <c r="H53" i="52"/>
  <c r="C70" i="52"/>
  <c r="D70" i="52"/>
  <c r="E70" i="52"/>
  <c r="F70" i="52"/>
  <c r="G70" i="52"/>
  <c r="H70" i="52"/>
  <c r="C18" i="52"/>
  <c r="D18" i="52"/>
  <c r="E18" i="52"/>
  <c r="F18" i="52"/>
  <c r="G18" i="52"/>
  <c r="H18" i="52"/>
  <c r="C20" i="52"/>
  <c r="D20" i="52"/>
  <c r="E20" i="52"/>
  <c r="F20" i="52"/>
  <c r="G20" i="52"/>
  <c r="H20" i="52"/>
  <c r="C89" i="52"/>
  <c r="D89" i="52"/>
  <c r="E89" i="52"/>
  <c r="F89" i="52"/>
  <c r="G89" i="52"/>
  <c r="H89" i="52"/>
  <c r="C119" i="52"/>
  <c r="D119" i="52"/>
  <c r="E119" i="52"/>
  <c r="F119" i="52"/>
  <c r="G119" i="52"/>
  <c r="H119" i="52"/>
  <c r="C59" i="52"/>
  <c r="D59" i="52"/>
  <c r="E59" i="52"/>
  <c r="F59" i="52"/>
  <c r="G59" i="52"/>
  <c r="H59" i="52"/>
  <c r="C32" i="52"/>
  <c r="D32" i="52"/>
  <c r="E32" i="52"/>
  <c r="F32" i="52"/>
  <c r="G32" i="52"/>
  <c r="H32" i="52"/>
  <c r="C56" i="52"/>
  <c r="D56" i="52"/>
  <c r="E56" i="52"/>
  <c r="F56" i="52"/>
  <c r="G56" i="52"/>
  <c r="H56" i="52"/>
  <c r="C46" i="52"/>
  <c r="D46" i="52"/>
  <c r="E46" i="52"/>
  <c r="F46" i="52"/>
  <c r="G46" i="52"/>
  <c r="H46" i="52"/>
  <c r="C75" i="52"/>
  <c r="D75" i="52"/>
  <c r="E75" i="52"/>
  <c r="F75" i="52"/>
  <c r="G75" i="52"/>
  <c r="H75" i="52"/>
  <c r="C27" i="52"/>
  <c r="D27" i="52"/>
  <c r="E27" i="52"/>
  <c r="F27" i="52"/>
  <c r="G27" i="52"/>
  <c r="H27" i="52"/>
  <c r="C40" i="52"/>
  <c r="D40" i="52"/>
  <c r="E40" i="52"/>
  <c r="F40" i="52"/>
  <c r="G40" i="52"/>
  <c r="H40" i="52"/>
  <c r="C36" i="52"/>
  <c r="D36" i="52"/>
  <c r="E36" i="52"/>
  <c r="F36" i="52"/>
  <c r="G36" i="52"/>
  <c r="H36" i="52"/>
  <c r="C101" i="52"/>
  <c r="D101" i="52"/>
  <c r="E101" i="52"/>
  <c r="F101" i="52"/>
  <c r="G101" i="52"/>
  <c r="H101" i="52"/>
  <c r="C39" i="52"/>
  <c r="D39" i="52"/>
  <c r="E39" i="52"/>
  <c r="F39" i="52"/>
  <c r="G39" i="52"/>
  <c r="H39" i="52"/>
  <c r="C68" i="52"/>
  <c r="D68" i="52"/>
  <c r="E68" i="52"/>
  <c r="F68" i="52"/>
  <c r="G68" i="52"/>
  <c r="H68" i="52"/>
  <c r="C16" i="52"/>
  <c r="D16" i="52"/>
  <c r="E16" i="52"/>
  <c r="F16" i="52"/>
  <c r="G16" i="52"/>
  <c r="H16" i="52"/>
  <c r="C79" i="52"/>
  <c r="D79" i="52"/>
  <c r="E79" i="52"/>
  <c r="F79" i="52"/>
  <c r="G79" i="52"/>
  <c r="H79" i="52"/>
  <c r="C72" i="52"/>
  <c r="D72" i="52"/>
  <c r="E72" i="52"/>
  <c r="F72" i="52"/>
  <c r="G72" i="52"/>
  <c r="H72" i="52"/>
  <c r="C24" i="52"/>
  <c r="D24" i="52"/>
  <c r="E24" i="52"/>
  <c r="F24" i="52"/>
  <c r="G24" i="52"/>
  <c r="H24" i="52"/>
  <c r="C103" i="52"/>
  <c r="D103" i="52"/>
  <c r="E103" i="52"/>
  <c r="F103" i="52"/>
  <c r="G103" i="52"/>
  <c r="H103" i="52"/>
  <c r="C107" i="52"/>
  <c r="D107" i="52"/>
  <c r="E107" i="52"/>
  <c r="F107" i="52"/>
  <c r="G107" i="52"/>
  <c r="H107" i="52"/>
  <c r="C38" i="52"/>
  <c r="D38" i="52"/>
  <c r="E38" i="52"/>
  <c r="F38" i="52"/>
  <c r="G38" i="52"/>
  <c r="H38" i="52"/>
  <c r="C123" i="52"/>
  <c r="D123" i="52"/>
  <c r="E123" i="52"/>
  <c r="F123" i="52"/>
  <c r="G123" i="52"/>
  <c r="H123" i="52"/>
  <c r="C85" i="52"/>
  <c r="D85" i="52"/>
  <c r="E85" i="52"/>
  <c r="F85" i="52"/>
  <c r="G85" i="52"/>
  <c r="H85" i="52"/>
  <c r="H130" i="52"/>
  <c r="G130" i="52"/>
  <c r="F130" i="52"/>
  <c r="E130" i="52"/>
  <c r="D130" i="52"/>
  <c r="C130" i="52"/>
  <c r="K11" i="52"/>
  <c r="B142" i="52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52" i="44"/>
  <c r="K53" i="44"/>
  <c r="K54" i="44"/>
  <c r="K55" i="44"/>
  <c r="K56" i="44"/>
  <c r="K57" i="44"/>
  <c r="K58" i="44"/>
  <c r="K59" i="44"/>
  <c r="K60" i="44"/>
  <c r="K61" i="44"/>
  <c r="K62" i="44"/>
  <c r="K63" i="44"/>
  <c r="K64" i="44"/>
  <c r="K65" i="44"/>
  <c r="K66" i="44"/>
  <c r="K67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80" i="44"/>
  <c r="K81" i="44"/>
  <c r="K82" i="44"/>
  <c r="K83" i="44"/>
  <c r="K84" i="44"/>
  <c r="K85" i="44"/>
  <c r="K86" i="44"/>
  <c r="K87" i="44"/>
  <c r="K88" i="44"/>
  <c r="K89" i="44"/>
  <c r="K90" i="44"/>
  <c r="K91" i="44"/>
  <c r="K92" i="44"/>
  <c r="K93" i="44"/>
  <c r="K94" i="44"/>
  <c r="K95" i="44"/>
  <c r="K96" i="44"/>
  <c r="K97" i="44"/>
  <c r="K98" i="44"/>
  <c r="K99" i="44"/>
  <c r="K100" i="44"/>
  <c r="K101" i="44"/>
  <c r="K102" i="44"/>
  <c r="K103" i="44"/>
  <c r="K104" i="44"/>
  <c r="K105" i="44"/>
  <c r="K106" i="44"/>
  <c r="K107" i="44"/>
  <c r="K108" i="44"/>
  <c r="K109" i="44"/>
  <c r="K110" i="44"/>
  <c r="K111" i="44"/>
  <c r="K112" i="44"/>
  <c r="K113" i="44"/>
  <c r="K114" i="44"/>
  <c r="K115" i="44"/>
  <c r="K116" i="44"/>
  <c r="K117" i="44"/>
  <c r="K118" i="44"/>
  <c r="K119" i="44"/>
  <c r="K120" i="44"/>
  <c r="K123" i="44"/>
  <c r="K121" i="44"/>
  <c r="K122" i="44"/>
  <c r="K132" i="44"/>
  <c r="K124" i="44"/>
  <c r="K125" i="44"/>
  <c r="K126" i="44"/>
  <c r="K127" i="44"/>
  <c r="K128" i="44"/>
  <c r="K129" i="44"/>
  <c r="K130" i="44"/>
  <c r="K131" i="44"/>
  <c r="K133" i="44"/>
  <c r="K134" i="44"/>
  <c r="K135" i="44"/>
  <c r="K136" i="44"/>
  <c r="K137" i="44"/>
  <c r="K138" i="44"/>
  <c r="K139" i="44"/>
  <c r="K140" i="44"/>
  <c r="K141" i="44"/>
  <c r="K12" i="44"/>
  <c r="P14" i="44"/>
  <c r="P15" i="44"/>
  <c r="P16" i="44"/>
  <c r="P17" i="44"/>
  <c r="P18" i="44"/>
  <c r="P19" i="44"/>
  <c r="P20" i="44"/>
  <c r="P21" i="44"/>
  <c r="P22" i="44"/>
  <c r="P23" i="44"/>
  <c r="P24" i="44"/>
  <c r="P25" i="44"/>
  <c r="P26" i="44"/>
  <c r="P27" i="44"/>
  <c r="P28" i="44"/>
  <c r="P29" i="44"/>
  <c r="P30" i="44"/>
  <c r="P31" i="44"/>
  <c r="P32" i="44"/>
  <c r="P33" i="44"/>
  <c r="P34" i="44"/>
  <c r="P35" i="44"/>
  <c r="P36" i="44"/>
  <c r="P37" i="44"/>
  <c r="P38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P53" i="44"/>
  <c r="P54" i="44"/>
  <c r="P55" i="44"/>
  <c r="P56" i="44"/>
  <c r="P57" i="44"/>
  <c r="P58" i="44"/>
  <c r="P59" i="44"/>
  <c r="P60" i="44"/>
  <c r="P61" i="44"/>
  <c r="P62" i="44"/>
  <c r="P63" i="44"/>
  <c r="P64" i="44"/>
  <c r="P65" i="44"/>
  <c r="P66" i="44"/>
  <c r="P67" i="44"/>
  <c r="P68" i="44"/>
  <c r="P69" i="44"/>
  <c r="P70" i="44"/>
  <c r="P71" i="44"/>
  <c r="P72" i="44"/>
  <c r="P73" i="44"/>
  <c r="P74" i="44"/>
  <c r="P75" i="44"/>
  <c r="P76" i="44"/>
  <c r="P77" i="44"/>
  <c r="P78" i="44"/>
  <c r="P79" i="44"/>
  <c r="P80" i="44"/>
  <c r="P81" i="44"/>
  <c r="P82" i="44"/>
  <c r="P83" i="44"/>
  <c r="P84" i="44"/>
  <c r="P85" i="44"/>
  <c r="P86" i="44"/>
  <c r="P87" i="44"/>
  <c r="P88" i="44"/>
  <c r="P89" i="44"/>
  <c r="P90" i="44"/>
  <c r="P91" i="44"/>
  <c r="P92" i="44"/>
  <c r="P93" i="44"/>
  <c r="P94" i="44"/>
  <c r="P95" i="44"/>
  <c r="P96" i="44"/>
  <c r="P97" i="44"/>
  <c r="P98" i="44"/>
  <c r="P99" i="44"/>
  <c r="P100" i="44"/>
  <c r="P101" i="44"/>
  <c r="P102" i="44"/>
  <c r="P103" i="44"/>
  <c r="P104" i="44"/>
  <c r="P105" i="44"/>
  <c r="P106" i="44"/>
  <c r="P107" i="44"/>
  <c r="P108" i="44"/>
  <c r="P109" i="44"/>
  <c r="P110" i="44"/>
  <c r="P111" i="44"/>
  <c r="P112" i="44"/>
  <c r="P113" i="44"/>
  <c r="P114" i="44"/>
  <c r="P115" i="44"/>
  <c r="P116" i="44"/>
  <c r="P117" i="44"/>
  <c r="P118" i="44"/>
  <c r="P119" i="44"/>
  <c r="P120" i="44"/>
  <c r="P121" i="44"/>
  <c r="P122" i="44"/>
  <c r="P123" i="44"/>
  <c r="P124" i="44"/>
  <c r="P125" i="44"/>
  <c r="P126" i="44"/>
  <c r="P127" i="44"/>
  <c r="P128" i="44"/>
  <c r="P129" i="44"/>
  <c r="E174" i="44"/>
  <c r="D174" i="44"/>
  <c r="C174" i="44"/>
  <c r="E173" i="44"/>
  <c r="D173" i="44"/>
  <c r="C173" i="44"/>
  <c r="E172" i="44"/>
  <c r="D172" i="44"/>
  <c r="C172" i="44"/>
  <c r="E171" i="44"/>
  <c r="D171" i="44"/>
  <c r="C171" i="44"/>
  <c r="E168" i="44"/>
  <c r="D168" i="44"/>
  <c r="C168" i="44"/>
  <c r="E167" i="44"/>
  <c r="D167" i="44"/>
  <c r="C167" i="44"/>
  <c r="E166" i="44"/>
  <c r="D166" i="44"/>
  <c r="C166" i="44"/>
  <c r="E165" i="44"/>
  <c r="D165" i="44"/>
  <c r="C165" i="44"/>
  <c r="E162" i="44"/>
  <c r="D162" i="44"/>
  <c r="C162" i="44"/>
  <c r="E161" i="44"/>
  <c r="D161" i="44"/>
  <c r="C161" i="44"/>
  <c r="E160" i="44"/>
  <c r="D160" i="44"/>
  <c r="C160" i="44"/>
  <c r="E159" i="44"/>
  <c r="D159" i="44"/>
  <c r="C159" i="44"/>
  <c r="E154" i="44"/>
  <c r="D154" i="44"/>
  <c r="C154" i="44"/>
  <c r="E153" i="44"/>
  <c r="D153" i="44"/>
  <c r="C153" i="44"/>
  <c r="E152" i="44"/>
  <c r="D152" i="44"/>
  <c r="C152" i="44"/>
  <c r="E149" i="44"/>
  <c r="D149" i="44"/>
  <c r="C149" i="44"/>
  <c r="E148" i="44"/>
  <c r="D148" i="44"/>
  <c r="C148" i="44"/>
  <c r="E147" i="44"/>
  <c r="D147" i="44"/>
  <c r="C147" i="44"/>
  <c r="K11" i="44"/>
  <c r="B142" i="44"/>
  <c r="K3" i="44"/>
  <c r="B35" i="73"/>
  <c r="D3" i="73"/>
  <c r="AF35" i="73"/>
  <c r="Q35" i="73"/>
  <c r="AH34" i="73"/>
  <c r="AG34" i="73"/>
  <c r="AA34" i="73"/>
  <c r="Z34" i="73"/>
  <c r="S34" i="73"/>
  <c r="R34" i="73"/>
  <c r="AH33" i="73"/>
  <c r="AG33" i="73"/>
  <c r="AA33" i="73"/>
  <c r="Z33" i="73"/>
  <c r="L33" i="73"/>
  <c r="K33" i="73"/>
  <c r="D33" i="73"/>
  <c r="C33" i="73"/>
  <c r="AH32" i="73"/>
  <c r="AG32" i="73"/>
  <c r="AA32" i="73"/>
  <c r="Z32" i="73"/>
  <c r="S32" i="73"/>
  <c r="R32" i="73"/>
  <c r="L32" i="73"/>
  <c r="K32" i="73"/>
  <c r="D32" i="73"/>
  <c r="C32" i="73"/>
  <c r="AH31" i="73"/>
  <c r="AG31" i="73"/>
  <c r="D31" i="73"/>
  <c r="C31" i="73"/>
  <c r="AH30" i="73"/>
  <c r="AG30" i="73"/>
  <c r="AA30" i="73"/>
  <c r="Z30" i="73"/>
  <c r="S30" i="73"/>
  <c r="R30" i="73"/>
  <c r="L30" i="73"/>
  <c r="K30" i="73"/>
  <c r="D30" i="73"/>
  <c r="C30" i="73"/>
  <c r="AH29" i="73"/>
  <c r="AG29" i="73"/>
  <c r="AA29" i="73"/>
  <c r="Z29" i="73"/>
  <c r="L29" i="73"/>
  <c r="K29" i="73"/>
  <c r="D29" i="73"/>
  <c r="C29" i="73"/>
  <c r="AH28" i="73"/>
  <c r="AG28" i="73"/>
  <c r="AA28" i="73"/>
  <c r="Z28" i="73"/>
  <c r="S28" i="73"/>
  <c r="R28" i="73"/>
  <c r="L28" i="73"/>
  <c r="K28" i="73"/>
  <c r="D28" i="73"/>
  <c r="C28" i="73"/>
  <c r="AH27" i="73"/>
  <c r="AG27" i="73"/>
  <c r="AA27" i="73"/>
  <c r="Z27" i="73"/>
  <c r="S27" i="73"/>
  <c r="R27" i="73"/>
  <c r="L27" i="73"/>
  <c r="K27" i="73"/>
  <c r="D27" i="73"/>
  <c r="C27" i="73"/>
  <c r="AH26" i="73"/>
  <c r="AG26" i="73"/>
  <c r="AA26" i="73"/>
  <c r="Z26" i="73"/>
  <c r="S26" i="73"/>
  <c r="R26" i="73"/>
  <c r="L26" i="73"/>
  <c r="K26" i="73"/>
  <c r="D26" i="73"/>
  <c r="C26" i="73"/>
  <c r="AH25" i="73"/>
  <c r="AG25" i="73"/>
  <c r="AA25" i="73"/>
  <c r="Z25" i="73"/>
  <c r="S25" i="73"/>
  <c r="R25" i="73"/>
  <c r="L25" i="73"/>
  <c r="K25" i="73"/>
  <c r="D25" i="73"/>
  <c r="C25" i="73"/>
  <c r="AH24" i="73"/>
  <c r="AG24" i="73"/>
  <c r="AA24" i="73"/>
  <c r="Z24" i="73"/>
  <c r="S24" i="73"/>
  <c r="R24" i="73"/>
  <c r="L24" i="73"/>
  <c r="K24" i="73"/>
  <c r="D24" i="73"/>
  <c r="C24" i="73"/>
  <c r="AH23" i="73"/>
  <c r="AG23" i="73"/>
  <c r="AA23" i="73"/>
  <c r="Z23" i="73"/>
  <c r="L23" i="73"/>
  <c r="K23" i="73"/>
  <c r="D23" i="73"/>
  <c r="C23" i="73"/>
  <c r="AH22" i="73"/>
  <c r="AG22" i="73"/>
  <c r="AA22" i="73"/>
  <c r="Z22" i="73"/>
  <c r="L22" i="73"/>
  <c r="K22" i="73"/>
  <c r="D22" i="73"/>
  <c r="C22" i="73"/>
  <c r="AH21" i="73"/>
  <c r="AG21" i="73"/>
  <c r="AA21" i="73"/>
  <c r="Z21" i="73"/>
  <c r="S21" i="73"/>
  <c r="R21" i="73"/>
  <c r="L21" i="73"/>
  <c r="K21" i="73"/>
  <c r="D21" i="73"/>
  <c r="C21" i="73"/>
  <c r="AH20" i="73"/>
  <c r="AG20" i="73"/>
  <c r="AA20" i="73"/>
  <c r="Z20" i="73"/>
  <c r="S20" i="73"/>
  <c r="R20" i="73"/>
  <c r="L20" i="73"/>
  <c r="K20" i="73"/>
  <c r="D20" i="73"/>
  <c r="C20" i="73"/>
  <c r="AH19" i="73"/>
  <c r="AG19" i="73"/>
  <c r="S19" i="73"/>
  <c r="R19" i="73"/>
  <c r="L19" i="73"/>
  <c r="K19" i="73"/>
  <c r="D19" i="73"/>
  <c r="C19" i="73"/>
  <c r="AH18" i="73"/>
  <c r="AG18" i="73"/>
  <c r="AA18" i="73"/>
  <c r="Z18" i="73"/>
  <c r="S18" i="73"/>
  <c r="R18" i="73"/>
  <c r="L18" i="73"/>
  <c r="K18" i="73"/>
  <c r="D18" i="73"/>
  <c r="C18" i="73"/>
  <c r="AH17" i="73"/>
  <c r="AG17" i="73"/>
  <c r="AA17" i="73"/>
  <c r="Z17" i="73"/>
  <c r="S17" i="73"/>
  <c r="R17" i="73"/>
  <c r="L17" i="73"/>
  <c r="K17" i="73"/>
  <c r="D17" i="73"/>
  <c r="C17" i="73"/>
  <c r="AH16" i="73"/>
  <c r="AG16" i="73"/>
  <c r="AA16" i="73"/>
  <c r="Z16" i="73"/>
  <c r="S16" i="73"/>
  <c r="R16" i="73"/>
  <c r="L16" i="73"/>
  <c r="K16" i="73"/>
  <c r="D16" i="73"/>
  <c r="C16" i="73"/>
  <c r="AH15" i="73"/>
  <c r="AG15" i="73"/>
  <c r="AA15" i="73"/>
  <c r="Z15" i="73"/>
  <c r="S15" i="73"/>
  <c r="R15" i="73"/>
  <c r="L15" i="73"/>
  <c r="K15" i="73"/>
  <c r="D15" i="73"/>
  <c r="C15" i="73"/>
  <c r="AP14" i="73"/>
  <c r="AO14" i="73"/>
  <c r="AH14" i="73"/>
  <c r="AG14" i="73"/>
  <c r="AA14" i="73"/>
  <c r="Z14" i="73"/>
  <c r="S14" i="73"/>
  <c r="R14" i="73"/>
  <c r="L14" i="73"/>
  <c r="K14" i="73"/>
  <c r="D14" i="73"/>
  <c r="C14" i="73"/>
  <c r="AP13" i="73"/>
  <c r="AO13" i="73"/>
  <c r="AH13" i="73"/>
  <c r="AG13" i="73"/>
  <c r="AA13" i="73"/>
  <c r="Z13" i="73"/>
  <c r="S13" i="73"/>
  <c r="R13" i="73"/>
  <c r="L13" i="73"/>
  <c r="K13" i="73"/>
  <c r="D13" i="73"/>
  <c r="C13" i="73"/>
  <c r="AP12" i="73"/>
  <c r="AO12" i="73"/>
  <c r="AH12" i="73"/>
  <c r="AG12" i="73"/>
  <c r="AA12" i="73"/>
  <c r="Z12" i="73"/>
  <c r="S12" i="73"/>
  <c r="R12" i="73"/>
  <c r="L12" i="73"/>
  <c r="K12" i="73"/>
  <c r="D12" i="73"/>
  <c r="C12" i="73"/>
  <c r="AP11" i="73"/>
  <c r="AO11" i="73"/>
  <c r="AH11" i="73"/>
  <c r="AG11" i="73"/>
  <c r="AA11" i="73"/>
  <c r="Z11" i="73"/>
  <c r="L11" i="73"/>
  <c r="K11" i="73"/>
  <c r="D11" i="73"/>
  <c r="C11" i="73"/>
  <c r="AP10" i="73"/>
  <c r="AO10" i="73"/>
  <c r="AH10" i="73"/>
  <c r="AG10" i="73"/>
  <c r="AA10" i="73"/>
  <c r="Z10" i="73"/>
  <c r="S10" i="73"/>
  <c r="R10" i="73"/>
  <c r="L10" i="73"/>
  <c r="K10" i="73"/>
  <c r="AH3" i="73"/>
  <c r="S3" i="73"/>
  <c r="AE2" i="73"/>
  <c r="P2" i="73"/>
  <c r="A2" i="73"/>
  <c r="AE1" i="73"/>
  <c r="P1" i="73"/>
  <c r="A1" i="73"/>
  <c r="J4" i="50"/>
  <c r="A1" i="50"/>
  <c r="B142" i="50"/>
  <c r="B35" i="47"/>
  <c r="Q35" i="47"/>
  <c r="AF35" i="47"/>
  <c r="S20" i="47"/>
  <c r="R20" i="47"/>
  <c r="S19" i="47"/>
  <c r="R19" i="47"/>
  <c r="S18" i="47"/>
  <c r="R18" i="47"/>
  <c r="S17" i="47"/>
  <c r="R17" i="47"/>
  <c r="S16" i="47"/>
  <c r="R16" i="47"/>
  <c r="S15" i="47"/>
  <c r="R15" i="47"/>
  <c r="S14" i="47"/>
  <c r="R14" i="47"/>
  <c r="S13" i="47"/>
  <c r="R13" i="47"/>
  <c r="S12" i="47"/>
  <c r="R12" i="47"/>
  <c r="S11" i="47"/>
  <c r="R11" i="47"/>
  <c r="S10" i="47"/>
  <c r="R10" i="47"/>
  <c r="C26" i="47"/>
  <c r="D26" i="47"/>
  <c r="C27" i="47"/>
  <c r="D27" i="47"/>
  <c r="C28" i="47"/>
  <c r="D28" i="47"/>
  <c r="C29" i="47"/>
  <c r="D29" i="47"/>
  <c r="C30" i="47"/>
  <c r="D30" i="47"/>
  <c r="C31" i="47"/>
  <c r="D31" i="47"/>
  <c r="C32" i="47"/>
  <c r="D32" i="47"/>
  <c r="C33" i="47"/>
  <c r="D33" i="47"/>
  <c r="C34" i="47"/>
  <c r="D34" i="47"/>
  <c r="C25" i="47"/>
  <c r="D25" i="47"/>
  <c r="A4" i="50"/>
  <c r="A2" i="50"/>
  <c r="D18" i="72"/>
  <c r="D15" i="72"/>
  <c r="D17" i="72"/>
  <c r="D26" i="72"/>
  <c r="D19" i="72"/>
  <c r="D28" i="72"/>
  <c r="D25" i="72"/>
  <c r="D29" i="72"/>
  <c r="D27" i="72"/>
  <c r="D23" i="72"/>
  <c r="D21" i="72"/>
  <c r="D16" i="72"/>
  <c r="D14" i="72"/>
  <c r="D24" i="72"/>
  <c r="D22" i="72"/>
  <c r="D20" i="72"/>
  <c r="D13" i="72"/>
  <c r="AE12" i="72"/>
  <c r="D12" i="72"/>
  <c r="AE4" i="72"/>
  <c r="B2" i="72"/>
  <c r="B1" i="72"/>
  <c r="J3" i="50"/>
  <c r="C2" i="25"/>
  <c r="C3" i="25"/>
  <c r="C4" i="25"/>
  <c r="C5" i="25"/>
  <c r="E149" i="52"/>
  <c r="E151" i="52"/>
  <c r="E146" i="52"/>
  <c r="E147" i="52"/>
  <c r="E148" i="52"/>
  <c r="C13" i="47"/>
  <c r="D13" i="47"/>
  <c r="T12" i="44"/>
  <c r="T13" i="44"/>
  <c r="T14" i="44"/>
  <c r="T15" i="44"/>
  <c r="T16" i="44"/>
  <c r="T17" i="44"/>
  <c r="T18" i="44"/>
  <c r="T19" i="44"/>
  <c r="T20" i="44"/>
  <c r="T21" i="44"/>
  <c r="T22" i="44"/>
  <c r="T23" i="44"/>
  <c r="T24" i="44"/>
  <c r="T25" i="44"/>
  <c r="T26" i="44"/>
  <c r="T27" i="44"/>
  <c r="T28" i="44"/>
  <c r="T29" i="44"/>
  <c r="T30" i="44"/>
  <c r="T31" i="44"/>
  <c r="T32" i="44"/>
  <c r="T33" i="44"/>
  <c r="T34" i="44"/>
  <c r="T35" i="44"/>
  <c r="T36" i="44"/>
  <c r="T37" i="44"/>
  <c r="T38" i="44"/>
  <c r="T39" i="44"/>
  <c r="T40" i="44"/>
  <c r="T41" i="44"/>
  <c r="T42" i="44"/>
  <c r="T43" i="44"/>
  <c r="T44" i="44"/>
  <c r="T45" i="44"/>
  <c r="T46" i="44"/>
  <c r="T47" i="44"/>
  <c r="T48" i="44"/>
  <c r="T49" i="44"/>
  <c r="T50" i="44"/>
  <c r="T51" i="44"/>
  <c r="T52" i="44"/>
  <c r="T53" i="44"/>
  <c r="T54" i="44"/>
  <c r="T55" i="44"/>
  <c r="T56" i="44"/>
  <c r="T57" i="44"/>
  <c r="T58" i="44"/>
  <c r="T59" i="44"/>
  <c r="T60" i="44"/>
  <c r="T61" i="44"/>
  <c r="T62" i="44"/>
  <c r="T63" i="44"/>
  <c r="T64" i="44"/>
  <c r="T65" i="44"/>
  <c r="T66" i="44"/>
  <c r="T67" i="44"/>
  <c r="T68" i="44"/>
  <c r="T69" i="44"/>
  <c r="T70" i="44"/>
  <c r="T71" i="44"/>
  <c r="T72" i="44"/>
  <c r="T73" i="44"/>
  <c r="T74" i="44"/>
  <c r="T75" i="44"/>
  <c r="T76" i="44"/>
  <c r="T77" i="44"/>
  <c r="T78" i="44"/>
  <c r="T79" i="44"/>
  <c r="T80" i="44"/>
  <c r="T81" i="44"/>
  <c r="T82" i="44"/>
  <c r="T83" i="44"/>
  <c r="T84" i="44"/>
  <c r="T85" i="44"/>
  <c r="T86" i="44"/>
  <c r="T87" i="44"/>
  <c r="T88" i="44"/>
  <c r="T89" i="44"/>
  <c r="T90" i="44"/>
  <c r="T91" i="44"/>
  <c r="T92" i="44"/>
  <c r="T93" i="44"/>
  <c r="T94" i="44"/>
  <c r="T95" i="44"/>
  <c r="T96" i="44"/>
  <c r="T97" i="44"/>
  <c r="T98" i="44"/>
  <c r="T99" i="44"/>
  <c r="T100" i="44"/>
  <c r="T101" i="44"/>
  <c r="T102" i="44"/>
  <c r="T103" i="44"/>
  <c r="T104" i="44"/>
  <c r="T105" i="44"/>
  <c r="T106" i="44"/>
  <c r="T107" i="44"/>
  <c r="T108" i="44"/>
  <c r="T109" i="44"/>
  <c r="T110" i="44"/>
  <c r="T111" i="44"/>
  <c r="T112" i="44"/>
  <c r="T113" i="44"/>
  <c r="T114" i="44"/>
  <c r="T115" i="44"/>
  <c r="T116" i="44"/>
  <c r="T117" i="44"/>
  <c r="T118" i="44"/>
  <c r="T119" i="44"/>
  <c r="T120" i="44"/>
  <c r="T121" i="44"/>
  <c r="T122" i="44"/>
  <c r="T123" i="44"/>
  <c r="T124" i="44"/>
  <c r="T125" i="44"/>
  <c r="T126" i="44"/>
  <c r="T127" i="44"/>
  <c r="T128" i="44"/>
  <c r="T129" i="44"/>
  <c r="T130" i="44"/>
  <c r="T131" i="44"/>
  <c r="T132" i="44"/>
  <c r="T133" i="44"/>
  <c r="T134" i="44"/>
  <c r="T135" i="44"/>
  <c r="T136" i="44"/>
  <c r="T137" i="44"/>
  <c r="T138" i="44"/>
  <c r="T139" i="44"/>
  <c r="T141" i="44"/>
  <c r="W13" i="44"/>
  <c r="W14" i="44"/>
  <c r="W15" i="44"/>
  <c r="W16" i="44"/>
  <c r="W17" i="44"/>
  <c r="W18" i="44"/>
  <c r="W19" i="44"/>
  <c r="W20" i="44"/>
  <c r="W21" i="44"/>
  <c r="W22" i="44"/>
  <c r="W23" i="44"/>
  <c r="W24" i="44"/>
  <c r="W25" i="44"/>
  <c r="W26" i="44"/>
  <c r="W27" i="44"/>
  <c r="W28" i="44"/>
  <c r="W29" i="44"/>
  <c r="W30" i="44"/>
  <c r="W31" i="44"/>
  <c r="W32" i="44"/>
  <c r="W33" i="44"/>
  <c r="W34" i="44"/>
  <c r="W35" i="44"/>
  <c r="W36" i="44"/>
  <c r="W37" i="44"/>
  <c r="W38" i="44"/>
  <c r="W39" i="44"/>
  <c r="W40" i="44"/>
  <c r="W41" i="44"/>
  <c r="W42" i="44"/>
  <c r="W43" i="44"/>
  <c r="W44" i="44"/>
  <c r="W45" i="44"/>
  <c r="W46" i="44"/>
  <c r="W47" i="44"/>
  <c r="W48" i="44"/>
  <c r="W49" i="44"/>
  <c r="W50" i="44"/>
  <c r="W51" i="44"/>
  <c r="W52" i="44"/>
  <c r="W53" i="44"/>
  <c r="W54" i="44"/>
  <c r="W55" i="44"/>
  <c r="W56" i="44"/>
  <c r="W57" i="44"/>
  <c r="W58" i="44"/>
  <c r="W59" i="44"/>
  <c r="W60" i="44"/>
  <c r="W61" i="44"/>
  <c r="W62" i="44"/>
  <c r="W63" i="44"/>
  <c r="W64" i="44"/>
  <c r="W65" i="44"/>
  <c r="W66" i="44"/>
  <c r="W67" i="44"/>
  <c r="W68" i="44"/>
  <c r="W69" i="44"/>
  <c r="W70" i="44"/>
  <c r="W71" i="44"/>
  <c r="W72" i="44"/>
  <c r="W73" i="44"/>
  <c r="W74" i="44"/>
  <c r="W75" i="44"/>
  <c r="W76" i="44"/>
  <c r="W77" i="44"/>
  <c r="W78" i="44"/>
  <c r="W79" i="44"/>
  <c r="W80" i="44"/>
  <c r="W81" i="44"/>
  <c r="W82" i="44"/>
  <c r="W83" i="44"/>
  <c r="W84" i="44"/>
  <c r="W85" i="44"/>
  <c r="W86" i="44"/>
  <c r="W87" i="44"/>
  <c r="W88" i="44"/>
  <c r="W89" i="44"/>
  <c r="W90" i="44"/>
  <c r="W91" i="44"/>
  <c r="W92" i="44"/>
  <c r="W93" i="44"/>
  <c r="W94" i="44"/>
  <c r="W95" i="44"/>
  <c r="W96" i="44"/>
  <c r="W97" i="44"/>
  <c r="W98" i="44"/>
  <c r="W99" i="44"/>
  <c r="W100" i="44"/>
  <c r="W101" i="44"/>
  <c r="W102" i="44"/>
  <c r="W103" i="44"/>
  <c r="W104" i="44"/>
  <c r="W105" i="44"/>
  <c r="W106" i="44"/>
  <c r="W107" i="44"/>
  <c r="W108" i="44"/>
  <c r="W109" i="44"/>
  <c r="W110" i="44"/>
  <c r="W111" i="44"/>
  <c r="W112" i="44"/>
  <c r="W113" i="44"/>
  <c r="W114" i="44"/>
  <c r="W115" i="44"/>
  <c r="W116" i="44"/>
  <c r="W117" i="44"/>
  <c r="W118" i="44"/>
  <c r="W119" i="44"/>
  <c r="W120" i="44"/>
  <c r="W121" i="44"/>
  <c r="W122" i="44"/>
  <c r="W123" i="44"/>
  <c r="W124" i="44"/>
  <c r="W125" i="44"/>
  <c r="W126" i="44"/>
  <c r="W127" i="44"/>
  <c r="W128" i="44"/>
  <c r="W129" i="44"/>
  <c r="W130" i="44"/>
  <c r="W131" i="44"/>
  <c r="W132" i="44"/>
  <c r="W133" i="44"/>
  <c r="W134" i="44"/>
  <c r="W135" i="44"/>
  <c r="W136" i="44"/>
  <c r="W137" i="44"/>
  <c r="W138" i="44"/>
  <c r="W139" i="44"/>
  <c r="W141" i="44"/>
  <c r="W12" i="44"/>
  <c r="D3" i="44"/>
  <c r="P13" i="44"/>
  <c r="P12" i="44"/>
  <c r="D3" i="47"/>
  <c r="AH3" i="47"/>
  <c r="S3" i="47"/>
  <c r="K4" i="52"/>
  <c r="A2" i="52"/>
  <c r="A1" i="52"/>
  <c r="AP14" i="47"/>
  <c r="AO14" i="47"/>
  <c r="AP13" i="47"/>
  <c r="AO13" i="47"/>
  <c r="AP12" i="47"/>
  <c r="AO12" i="47"/>
  <c r="AP11" i="47"/>
  <c r="AO11" i="47"/>
  <c r="AP10" i="47"/>
  <c r="AO10" i="47"/>
  <c r="AH34" i="47"/>
  <c r="AG34" i="47"/>
  <c r="AH33" i="47"/>
  <c r="AG33" i="47"/>
  <c r="AH32" i="47"/>
  <c r="AG32" i="47"/>
  <c r="AH31" i="47"/>
  <c r="AG31" i="47"/>
  <c r="AH30" i="47"/>
  <c r="AG30" i="47"/>
  <c r="AH29" i="47"/>
  <c r="AG29" i="47"/>
  <c r="AH28" i="47"/>
  <c r="AG28" i="47"/>
  <c r="AH27" i="47"/>
  <c r="AG27" i="47"/>
  <c r="AH26" i="47"/>
  <c r="AG26" i="47"/>
  <c r="AH25" i="47"/>
  <c r="AG25" i="47"/>
  <c r="AH24" i="47"/>
  <c r="AG24" i="47"/>
  <c r="AH23" i="47"/>
  <c r="AG23" i="47"/>
  <c r="AH22" i="47"/>
  <c r="AG22" i="47"/>
  <c r="AH21" i="47"/>
  <c r="AG21" i="47"/>
  <c r="AH20" i="47"/>
  <c r="AG20" i="47"/>
  <c r="AH19" i="47"/>
  <c r="AG19" i="47"/>
  <c r="AH18" i="47"/>
  <c r="AG18" i="47"/>
  <c r="AH17" i="47"/>
  <c r="AG17" i="47"/>
  <c r="AH16" i="47"/>
  <c r="AG16" i="47"/>
  <c r="AH15" i="47"/>
  <c r="AG15" i="47"/>
  <c r="AH14" i="47"/>
  <c r="AG14" i="47"/>
  <c r="AH13" i="47"/>
  <c r="AG13" i="47"/>
  <c r="AH12" i="47"/>
  <c r="AG12" i="47"/>
  <c r="AH11" i="47"/>
  <c r="AG11" i="47"/>
  <c r="AH10" i="47"/>
  <c r="AG10" i="47"/>
  <c r="AA34" i="47"/>
  <c r="Z34" i="47"/>
  <c r="AA33" i="47"/>
  <c r="Z33" i="47"/>
  <c r="AA32" i="47"/>
  <c r="Z32" i="47"/>
  <c r="AA31" i="47"/>
  <c r="Z31" i="47"/>
  <c r="AA30" i="47"/>
  <c r="Z30" i="47"/>
  <c r="AA29" i="47"/>
  <c r="Z29" i="47"/>
  <c r="AA28" i="47"/>
  <c r="Z28" i="47"/>
  <c r="AA27" i="47"/>
  <c r="Z27" i="47"/>
  <c r="AA26" i="47"/>
  <c r="Z26" i="47"/>
  <c r="AA25" i="47"/>
  <c r="Z25" i="47"/>
  <c r="AA24" i="47"/>
  <c r="Z24" i="47"/>
  <c r="AA23" i="47"/>
  <c r="Z23" i="47"/>
  <c r="AA22" i="47"/>
  <c r="Z22" i="47"/>
  <c r="AA21" i="47"/>
  <c r="Z21" i="47"/>
  <c r="AA20" i="47"/>
  <c r="Z20" i="47"/>
  <c r="AA19" i="47"/>
  <c r="Z19" i="47"/>
  <c r="AA18" i="47"/>
  <c r="Z18" i="47"/>
  <c r="AA17" i="47"/>
  <c r="Z17" i="47"/>
  <c r="AA16" i="47"/>
  <c r="Z16" i="47"/>
  <c r="AA15" i="47"/>
  <c r="Z15" i="47"/>
  <c r="AA14" i="47"/>
  <c r="Z14" i="47"/>
  <c r="AA13" i="47"/>
  <c r="Z13" i="47"/>
  <c r="AA12" i="47"/>
  <c r="Z12" i="47"/>
  <c r="AA11" i="47"/>
  <c r="Z11" i="47"/>
  <c r="AA10" i="47"/>
  <c r="Z10" i="47"/>
  <c r="R21" i="47"/>
  <c r="S21" i="47"/>
  <c r="R22" i="47"/>
  <c r="S22" i="47"/>
  <c r="R23" i="47"/>
  <c r="S23" i="47"/>
  <c r="R24" i="47"/>
  <c r="S24" i="47"/>
  <c r="R25" i="47"/>
  <c r="S25" i="47"/>
  <c r="R26" i="47"/>
  <c r="S26" i="47"/>
  <c r="R27" i="47"/>
  <c r="S27" i="47"/>
  <c r="R28" i="47"/>
  <c r="S28" i="47"/>
  <c r="R29" i="47"/>
  <c r="S29" i="47"/>
  <c r="R30" i="47"/>
  <c r="S30" i="47"/>
  <c r="R31" i="47"/>
  <c r="S31" i="47"/>
  <c r="R32" i="47"/>
  <c r="S32" i="47"/>
  <c r="R33" i="47"/>
  <c r="S33" i="47"/>
  <c r="R34" i="47"/>
  <c r="S34" i="47"/>
  <c r="K11" i="47"/>
  <c r="L11" i="47"/>
  <c r="K12" i="47"/>
  <c r="L12" i="47"/>
  <c r="K13" i="47"/>
  <c r="L13" i="47"/>
  <c r="K14" i="47"/>
  <c r="L14" i="47"/>
  <c r="K15" i="47"/>
  <c r="L15" i="47"/>
  <c r="K16" i="47"/>
  <c r="L16" i="47"/>
  <c r="K17" i="47"/>
  <c r="L17" i="47"/>
  <c r="K18" i="47"/>
  <c r="L18" i="47"/>
  <c r="K19" i="47"/>
  <c r="L19" i="47"/>
  <c r="K20" i="47"/>
  <c r="L20" i="47"/>
  <c r="K21" i="47"/>
  <c r="L21" i="47"/>
  <c r="K22" i="47"/>
  <c r="L22" i="47"/>
  <c r="K23" i="47"/>
  <c r="L23" i="47"/>
  <c r="K24" i="47"/>
  <c r="L24" i="47"/>
  <c r="K25" i="47"/>
  <c r="L25" i="47"/>
  <c r="K26" i="47"/>
  <c r="L26" i="47"/>
  <c r="K27" i="47"/>
  <c r="L27" i="47"/>
  <c r="K28" i="47"/>
  <c r="L28" i="47"/>
  <c r="K29" i="47"/>
  <c r="L29" i="47"/>
  <c r="K30" i="47"/>
  <c r="L30" i="47"/>
  <c r="K31" i="47"/>
  <c r="L31" i="47"/>
  <c r="K32" i="47"/>
  <c r="L32" i="47"/>
  <c r="K33" i="47"/>
  <c r="L33" i="47"/>
  <c r="K34" i="47"/>
  <c r="L34" i="47"/>
  <c r="L10" i="47"/>
  <c r="K10" i="47"/>
  <c r="C11" i="47"/>
  <c r="D11" i="47"/>
  <c r="C12" i="47"/>
  <c r="D12" i="47"/>
  <c r="C14" i="47"/>
  <c r="D14" i="47"/>
  <c r="C15" i="47"/>
  <c r="D15" i="47"/>
  <c r="C16" i="47"/>
  <c r="D16" i="47"/>
  <c r="C17" i="47"/>
  <c r="D17" i="47"/>
  <c r="C18" i="47"/>
  <c r="D18" i="47"/>
  <c r="C19" i="47"/>
  <c r="D19" i="47"/>
  <c r="C20" i="47"/>
  <c r="D20" i="47"/>
  <c r="C21" i="47"/>
  <c r="D21" i="47"/>
  <c r="C22" i="47"/>
  <c r="D22" i="47"/>
  <c r="C23" i="47"/>
  <c r="D23" i="47"/>
  <c r="C24" i="47"/>
  <c r="D24" i="47"/>
  <c r="D10" i="47"/>
  <c r="C10" i="47"/>
  <c r="AE2" i="47"/>
  <c r="P2" i="47"/>
  <c r="AE1" i="47"/>
  <c r="P1" i="47"/>
  <c r="A2" i="47"/>
  <c r="A1" i="47"/>
  <c r="A11" i="44"/>
  <c r="K4" i="44"/>
  <c r="A4" i="44"/>
  <c r="A2" i="44"/>
  <c r="A1" i="44"/>
  <c r="V1" i="44"/>
</calcChain>
</file>

<file path=xl/sharedStrings.xml><?xml version="1.0" encoding="utf-8"?>
<sst xmlns="http://schemas.openxmlformats.org/spreadsheetml/2006/main" count="1971" uniqueCount="649">
  <si>
    <t>POŘ.</t>
  </si>
  <si>
    <t>ST.Č.</t>
  </si>
  <si>
    <t>KÓD UCI</t>
  </si>
  <si>
    <t>PŘÍJMENÍ A JMÉNO</t>
  </si>
  <si>
    <t>KLUB</t>
  </si>
  <si>
    <t>LICENCE</t>
  </si>
  <si>
    <t>Rank</t>
  </si>
  <si>
    <t>Race no.</t>
  </si>
  <si>
    <t>UCI code</t>
  </si>
  <si>
    <t>Surname and name</t>
  </si>
  <si>
    <t>Licence</t>
  </si>
  <si>
    <t>Group</t>
  </si>
  <si>
    <t>DRUŽSTVO</t>
  </si>
  <si>
    <t>Startovní listina / Start list</t>
  </si>
  <si>
    <t>Team</t>
  </si>
  <si>
    <t>penalizace</t>
  </si>
  <si>
    <t>4 etapa</t>
  </si>
  <si>
    <t>3.etapa</t>
  </si>
  <si>
    <t>2. etapa</t>
  </si>
  <si>
    <t>1.etapa</t>
  </si>
  <si>
    <t>CELKEM</t>
  </si>
  <si>
    <t>Total</t>
  </si>
  <si>
    <t>1.ET .</t>
  </si>
  <si>
    <t>2. ET.</t>
  </si>
  <si>
    <t>3. ET.</t>
  </si>
  <si>
    <t>4. ET.</t>
  </si>
  <si>
    <t>CELKOVĚ</t>
  </si>
  <si>
    <t>ZTRÁTA</t>
  </si>
  <si>
    <t>Overall</t>
  </si>
  <si>
    <t>Gap</t>
  </si>
  <si>
    <t>Signature</t>
  </si>
  <si>
    <t>2. / 2nd</t>
  </si>
  <si>
    <t>1. / 1st</t>
  </si>
  <si>
    <t>1. etapa / 1st stage</t>
  </si>
  <si>
    <t>NAZEV</t>
  </si>
  <si>
    <t>ROCNIK</t>
  </si>
  <si>
    <t>Parametr</t>
  </si>
  <si>
    <t>Hodnota</t>
  </si>
  <si>
    <t>ROK</t>
  </si>
  <si>
    <t>DATUM E1</t>
  </si>
  <si>
    <t>DATUM E4</t>
  </si>
  <si>
    <t>DATUM VSE</t>
  </si>
  <si>
    <t>FAV</t>
  </si>
  <si>
    <t>SVK</t>
  </si>
  <si>
    <t>Legend: / DNF Did Not Finish - nedokončil / DNS Did Not Start - nestartoval / DSQ Disqualified - diskvalifikován / REL Relegated - odvolán / OTL Over Time Limit - po limitu</t>
  </si>
  <si>
    <t>DATUM E2</t>
  </si>
  <si>
    <t>DATUM E3</t>
  </si>
  <si>
    <t>Místo konání</t>
  </si>
  <si>
    <t>Etapy Celkem</t>
  </si>
  <si>
    <t>Etapa 1</t>
  </si>
  <si>
    <t>Etapa 2</t>
  </si>
  <si>
    <t>Etapa 3</t>
  </si>
  <si>
    <t>Etapa 4</t>
  </si>
  <si>
    <t>NAZE1</t>
  </si>
  <si>
    <t>NAZE2</t>
  </si>
  <si>
    <t>NAZE3</t>
  </si>
  <si>
    <t>NAZE4</t>
  </si>
  <si>
    <t>GAP</t>
  </si>
  <si>
    <t>ČAS</t>
  </si>
  <si>
    <t>Time</t>
  </si>
  <si>
    <r>
      <rPr>
        <b/>
        <sz val="10"/>
        <rFont val="Calibri"/>
        <family val="2"/>
      </rPr>
      <t>žlutý</t>
    </r>
    <r>
      <rPr>
        <sz val="10"/>
        <rFont val="Calibri"/>
        <family val="2"/>
      </rPr>
      <t xml:space="preserve"> / </t>
    </r>
    <r>
      <rPr>
        <b/>
        <sz val="10"/>
        <rFont val="Calibri"/>
        <family val="2"/>
      </rPr>
      <t>yellow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(leader of general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</si>
  <si>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červené puntíky / red polka-dots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climber)</t>
    </r>
    <r>
      <rPr>
        <sz val="10"/>
        <rFont val="Calibri"/>
        <family val="2"/>
      </rPr>
      <t xml:space="preserve">    </t>
    </r>
  </si>
  <si>
    <t>Pořadí mechanických vozů pro druhou etapu / Order of the mechanical cars for the second stage</t>
  </si>
  <si>
    <t>Sprinterské prémie / Intermediate Sprints</t>
  </si>
  <si>
    <t>Vrchařské prémie / Stage Mountain Points (K.O.M.)</t>
  </si>
  <si>
    <t>KATEG.</t>
  </si>
  <si>
    <t>Categ.</t>
  </si>
  <si>
    <t>po etapě</t>
  </si>
  <si>
    <t>Podpisový arch / Signature list</t>
  </si>
  <si>
    <t>PODPIS</t>
  </si>
  <si>
    <t>BODOVACÍ SOUTĚŽ JEDNOTLIVCŮ  /  INDIVIDUAL POINT CLASSIFICATION</t>
  </si>
  <si>
    <t>1. etapa</t>
  </si>
  <si>
    <t>1st Stage</t>
  </si>
  <si>
    <t>3. etapa</t>
  </si>
  <si>
    <t>4. etapa</t>
  </si>
  <si>
    <t>2nd Stage</t>
  </si>
  <si>
    <t>3rd Stage</t>
  </si>
  <si>
    <t>4th Stage</t>
  </si>
  <si>
    <t>bon.rychlost</t>
  </si>
  <si>
    <t>body.etapa</t>
  </si>
  <si>
    <t>body.rp</t>
  </si>
  <si>
    <t>body.vp</t>
  </si>
  <si>
    <t>Žlutý dres</t>
  </si>
  <si>
    <t>nižší součet umístění v jednotlivých etapách</t>
  </si>
  <si>
    <t>lepší umístění v poslední etapě</t>
  </si>
  <si>
    <t>Zelený dres (bodovací)</t>
  </si>
  <si>
    <t>vyšší počet vítězství v jednotlivých etapách</t>
  </si>
  <si>
    <t>vyšší počet vítězství v rychlostních prémiích</t>
  </si>
  <si>
    <t>lepší umístění v celkové kvalifikaci jednotlivců</t>
  </si>
  <si>
    <t>Puntíkatý dres (vrchařská)</t>
  </si>
  <si>
    <t>vyšší počet vítězství ve vrchařských prémiích</t>
  </si>
  <si>
    <t>Soutěž družstev</t>
  </si>
  <si>
    <t>lepší součet umístění prvních tří závodníků v dané etapě</t>
  </si>
  <si>
    <t>umístění nejlepšího závodníka družstva v cíli etapy</t>
  </si>
  <si>
    <t>BONIFIKACE</t>
  </si>
  <si>
    <t>Bonification</t>
  </si>
  <si>
    <t>2. etapa / 2nd stage</t>
  </si>
  <si>
    <t>3. etapa / 3rd stage</t>
  </si>
  <si>
    <t>4. etapa / 4th stage</t>
  </si>
  <si>
    <t>RUS</t>
  </si>
  <si>
    <t>SKC</t>
  </si>
  <si>
    <t>Místo konání / Place: Jindřichův Hradec (CZE)</t>
  </si>
  <si>
    <t>st.č</t>
  </si>
  <si>
    <t>čas</t>
  </si>
  <si>
    <t>poř.</t>
  </si>
  <si>
    <t>bonifikace</t>
  </si>
  <si>
    <t>Prémie</t>
  </si>
  <si>
    <t>Etapa</t>
  </si>
  <si>
    <t>PREDCHOZI</t>
  </si>
  <si>
    <t>PRUBEZNE</t>
  </si>
  <si>
    <t>active</t>
  </si>
  <si>
    <t>points</t>
  </si>
  <si>
    <t>rider no</t>
  </si>
  <si>
    <t>control</t>
  </si>
  <si>
    <t>PO1</t>
  </si>
  <si>
    <t>PO2</t>
  </si>
  <si>
    <t>PO3</t>
  </si>
  <si>
    <t>PO4</t>
  </si>
  <si>
    <t>rnk</t>
  </si>
  <si>
    <t>sum p</t>
  </si>
  <si>
    <t>AFTER1</t>
  </si>
  <si>
    <t>DNF</t>
  </si>
  <si>
    <t>CISLO</t>
  </si>
  <si>
    <t>PORADI</t>
  </si>
  <si>
    <t>KONTR</t>
  </si>
  <si>
    <t>JEDNA</t>
  </si>
  <si>
    <t>KONTROLA</t>
  </si>
  <si>
    <t>DNS</t>
  </si>
  <si>
    <t>Sdělení sboru rozhodčích 1 / Communique of jury 1</t>
  </si>
  <si>
    <t>SOUTĚŽ DRUŽSTEV  /  TEAM COMPETITION</t>
  </si>
  <si>
    <t>Výsledková listina / Result</t>
  </si>
  <si>
    <t>Pořadí mechanických vozů pro třetí etapu / Order of the mechanical cars for the third stage</t>
  </si>
  <si>
    <t>1. ET .</t>
  </si>
  <si>
    <t>Stg Rank</t>
  </si>
  <si>
    <t>Members</t>
  </si>
  <si>
    <t>Rnk Sum</t>
  </si>
  <si>
    <t>VRCHAŘSKÁ SOUTĚŽ / CLIMBING COMPETITION</t>
  </si>
  <si>
    <t>Před novou etapu</t>
  </si>
  <si>
    <t>Po spočtení celkových výsledků závodunezapomenout změnit odkaz na průběžné výsledky (ACTIVERIDERS/AFTER)</t>
  </si>
  <si>
    <t>Nositelé trikotů pro druhou etapu / Jersey holders for the second stage</t>
  </si>
  <si>
    <t>NOOFRESLIST</t>
  </si>
  <si>
    <t>R E G I O N E M   O R L I C K A   L A N Š K R O U N   2 0 1 4</t>
  </si>
  <si>
    <t>28. ročník mezinárodního cyklistického závodu juniorů / 28th edition of international cycling race of juniors</t>
  </si>
  <si>
    <t>8.8. - 10.8. 2014</t>
  </si>
  <si>
    <t>Lanškroun (CZE)</t>
  </si>
  <si>
    <r>
      <rPr>
        <b/>
        <sz val="9"/>
        <rFont val="Calibri"/>
        <family val="2"/>
      </rPr>
      <t>1. etapa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1st Stage</t>
    </r>
    <r>
      <rPr>
        <sz val="9"/>
        <rFont val="Calibri"/>
        <family val="2"/>
      </rPr>
      <t xml:space="preserve">  </t>
    </r>
  </si>
  <si>
    <t>2. etapa / 2nd Stage</t>
  </si>
  <si>
    <t>3. etapa / 3rd Stage</t>
  </si>
  <si>
    <r>
      <rPr>
        <b/>
        <sz val="9"/>
        <rFont val="Calibri"/>
        <family val="2"/>
      </rPr>
      <t>4. etapa / 4th Stage</t>
    </r>
    <r>
      <rPr>
        <sz val="9"/>
        <rFont val="Calibri"/>
        <family val="2"/>
      </rPr>
      <t xml:space="preserve"> </t>
    </r>
  </si>
  <si>
    <r>
      <rPr>
        <b/>
        <sz val="9"/>
        <rFont val="Calibri"/>
        <family val="2"/>
      </rPr>
      <t>po 1. etapě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after 1st Stage</t>
    </r>
    <r>
      <rPr>
        <sz val="9"/>
        <rFont val="Calibri"/>
        <family val="2"/>
      </rPr>
      <t xml:space="preserve">  </t>
    </r>
  </si>
  <si>
    <t>po 2. etapě / after 2nd Stage</t>
  </si>
  <si>
    <t>po 3. etapě / after 3rd Stage</t>
  </si>
  <si>
    <r>
      <rPr>
        <b/>
        <sz val="9"/>
        <rFont val="Calibri"/>
        <family val="2"/>
      </rPr>
      <t>po 4. etapě - celkově / after 4th Stage - overall</t>
    </r>
    <r>
      <rPr>
        <sz val="9"/>
        <rFont val="Calibri"/>
        <family val="2"/>
      </rPr>
      <t xml:space="preserve"> </t>
    </r>
  </si>
  <si>
    <t>I., IV.</t>
  </si>
  <si>
    <t>III.</t>
  </si>
  <si>
    <t>body časovka</t>
  </si>
  <si>
    <t>nižší zlomky sekundy při časovce jednotlivců</t>
  </si>
  <si>
    <t>Modrý puntík (bodovací)</t>
  </si>
  <si>
    <t>Červený puntík (vrchařská)</t>
  </si>
  <si>
    <t>Bílý dres (nejlepší junior 1997)</t>
  </si>
  <si>
    <t>Nejlepší kadet (bez dresu)</t>
  </si>
  <si>
    <t>NOOFRIDERS1</t>
  </si>
  <si>
    <t>NOOFRIDERS2</t>
  </si>
  <si>
    <t>NOOFRIDERS3</t>
  </si>
  <si>
    <t>NOOFRIDERS4</t>
  </si>
  <si>
    <t>GER19960410</t>
  </si>
  <si>
    <t>BECKER Alexander</t>
  </si>
  <si>
    <t>TEAM BRANDENBURG - RSC COTTBUS</t>
  </si>
  <si>
    <t>042439-11</t>
  </si>
  <si>
    <t>JUNIOR</t>
  </si>
  <si>
    <t>COT</t>
  </si>
  <si>
    <t>GER19970122</t>
  </si>
  <si>
    <t>BERAN Andy</t>
  </si>
  <si>
    <t>604254-11</t>
  </si>
  <si>
    <t>JUNIOR*</t>
  </si>
  <si>
    <t>GER19961002</t>
  </si>
  <si>
    <t>ROHDE Louis</t>
  </si>
  <si>
    <t>062094-11</t>
  </si>
  <si>
    <t>GER19960823</t>
  </si>
  <si>
    <t>SCHLOTT Julius</t>
  </si>
  <si>
    <t>044086-11</t>
  </si>
  <si>
    <t>GER19961029</t>
  </si>
  <si>
    <t>KOCH Chrisitan</t>
  </si>
  <si>
    <t>043833-11</t>
  </si>
  <si>
    <t>GER19960909</t>
  </si>
  <si>
    <t>KÄMNA Lennard</t>
  </si>
  <si>
    <t>050980-11</t>
  </si>
  <si>
    <t>GER19971022</t>
  </si>
  <si>
    <t>KANTER Max</t>
  </si>
  <si>
    <t>044005-11</t>
  </si>
  <si>
    <t>CZE19970324</t>
  </si>
  <si>
    <t xml:space="preserve">DUBOVSKÝ Jakub </t>
  </si>
  <si>
    <t xml:space="preserve">TJ FAVORIT BRNO </t>
  </si>
  <si>
    <t>CZE19970414</t>
  </si>
  <si>
    <t xml:space="preserve">DVOŘÁK Jakub </t>
  </si>
  <si>
    <t>CZE19960424</t>
  </si>
  <si>
    <t xml:space="preserve">GRUBER Pavel </t>
  </si>
  <si>
    <t>CZE19970127</t>
  </si>
  <si>
    <t xml:space="preserve">KOTOUČEK Matěj </t>
  </si>
  <si>
    <t>CZE19970813</t>
  </si>
  <si>
    <t xml:space="preserve">LAFUNTÁL Robert </t>
  </si>
  <si>
    <t>CZE19960516</t>
  </si>
  <si>
    <t xml:space="preserve">SCHMIDT Vít </t>
  </si>
  <si>
    <t>SVK19961022</t>
  </si>
  <si>
    <t xml:space="preserve">STRMISKA Andrej </t>
  </si>
  <si>
    <t>CZE19961029</t>
  </si>
  <si>
    <t xml:space="preserve">STŘEDA Kryštof </t>
  </si>
  <si>
    <t>CZE19980726</t>
  </si>
  <si>
    <t xml:space="preserve">POKORNÝ Petr </t>
  </si>
  <si>
    <t xml:space="preserve">ACK STARÁ VES NAD ONDŘEJNICÍ </t>
  </si>
  <si>
    <t>CADET</t>
  </si>
  <si>
    <t>GLI</t>
  </si>
  <si>
    <t>POL19961008</t>
  </si>
  <si>
    <t>ZLOTOWICZ Patryk</t>
  </si>
  <si>
    <t>KLUCZBORK</t>
  </si>
  <si>
    <t>CZE19980914</t>
  </si>
  <si>
    <t>TRACHTULEC Petr</t>
  </si>
  <si>
    <t>CK FESO PETŘVALD</t>
  </si>
  <si>
    <t>POL19960621</t>
  </si>
  <si>
    <t>TROSZOK Robert</t>
  </si>
  <si>
    <t>GRUPA KOLARSKA GLIWICE BA</t>
  </si>
  <si>
    <t>POL19981009</t>
  </si>
  <si>
    <t>FABIAN Marcel</t>
  </si>
  <si>
    <t>POL19970322</t>
  </si>
  <si>
    <t>FOLTYN Maciej</t>
  </si>
  <si>
    <t>POL19970825</t>
  </si>
  <si>
    <t>GRZEGORZYCA Dominik</t>
  </si>
  <si>
    <t>CZE19970902</t>
  </si>
  <si>
    <t xml:space="preserve">VÝVODA Jan </t>
  </si>
  <si>
    <t xml:space="preserve">TJ SIGMA HRANICE </t>
  </si>
  <si>
    <t>CZE19960727</t>
  </si>
  <si>
    <t xml:space="preserve">PREJDA Václav </t>
  </si>
  <si>
    <t xml:space="preserve">SK JIŘÍ TEAM OSTRAVA </t>
  </si>
  <si>
    <t>POL19960305</t>
  </si>
  <si>
    <t>PRZEWIĘDA Paweł</t>
  </si>
  <si>
    <t xml:space="preserve">DSR AUTHOR GÓRNIK WAŁBRZYCH </t>
  </si>
  <si>
    <t>GOR</t>
  </si>
  <si>
    <t>POL19970228</t>
  </si>
  <si>
    <t>SKIBIŃSKI Krzysztof</t>
  </si>
  <si>
    <t>POL19960116</t>
  </si>
  <si>
    <t>GORZAWSKI Kamil</t>
  </si>
  <si>
    <t>POL19960504</t>
  </si>
  <si>
    <t>POLKOWSKI Bartłomiej</t>
  </si>
  <si>
    <t>POL19970608</t>
  </si>
  <si>
    <t>BISKUP Bartosz</t>
  </si>
  <si>
    <t>POL19980719</t>
  </si>
  <si>
    <t>NOWAK Michał</t>
  </si>
  <si>
    <t>CZE19960310</t>
  </si>
  <si>
    <t xml:space="preserve">ŠULC Jakub </t>
  </si>
  <si>
    <t xml:space="preserve">KOLA-BBM.CZ </t>
  </si>
  <si>
    <t>KOO</t>
  </si>
  <si>
    <t>CZE19961125</t>
  </si>
  <si>
    <t xml:space="preserve">ANDRŠ Jakub </t>
  </si>
  <si>
    <t>KC KOOPERATIVA SG JABLONEC N.N</t>
  </si>
  <si>
    <t>CZE19990209</t>
  </si>
  <si>
    <t xml:space="preserve">HONZÁK David </t>
  </si>
  <si>
    <t>CADET*</t>
  </si>
  <si>
    <t>CZE19960213</t>
  </si>
  <si>
    <t xml:space="preserve">JUREČKA Jiří </t>
  </si>
  <si>
    <t>CZE19960630</t>
  </si>
  <si>
    <t xml:space="preserve">LEHKÝ Roman </t>
  </si>
  <si>
    <t>CZE19980811</t>
  </si>
  <si>
    <t xml:space="preserve">NOVOTNÝ Jakub </t>
  </si>
  <si>
    <t>CZE19960509</t>
  </si>
  <si>
    <t xml:space="preserve">PRENĚK Ondřej </t>
  </si>
  <si>
    <t>CZE19981009</t>
  </si>
  <si>
    <t xml:space="preserve">SIRŮČEK Václav </t>
  </si>
  <si>
    <t>CZE19960703</t>
  </si>
  <si>
    <t xml:space="preserve">ŠÍREK Adrian </t>
  </si>
  <si>
    <t>CZE19960203</t>
  </si>
  <si>
    <t xml:space="preserve">VRÁNA Dominik </t>
  </si>
  <si>
    <t>CZE19970829</t>
  </si>
  <si>
    <t xml:space="preserve">BAŘTIPÁN Josef </t>
  </si>
  <si>
    <t xml:space="preserve">TJ STADION LOUNY </t>
  </si>
  <si>
    <t>LOU</t>
  </si>
  <si>
    <t>CZE19991218</t>
  </si>
  <si>
    <t xml:space="preserve">HOLUBOVSKÝ Ondřej </t>
  </si>
  <si>
    <t>CZE19970319</t>
  </si>
  <si>
    <t xml:space="preserve">NEUMAN Daniel </t>
  </si>
  <si>
    <t>CZE19960702</t>
  </si>
  <si>
    <t>DULAJ Jan</t>
  </si>
  <si>
    <t>SKP DUHA FORT LANŠKROUN</t>
  </si>
  <si>
    <t>CZE19960511</t>
  </si>
  <si>
    <t xml:space="preserve">RAJCHART Jan </t>
  </si>
  <si>
    <t xml:space="preserve">NUTREND SPECIALIZED RACING </t>
  </si>
  <si>
    <t>CZE19970109</t>
  </si>
  <si>
    <t xml:space="preserve">SVATEK Miroslav </t>
  </si>
  <si>
    <t xml:space="preserve">PROFI SPORT CHEB </t>
  </si>
  <si>
    <t>CZE19970110</t>
  </si>
  <si>
    <t xml:space="preserve">KŘIKAVA Jakub </t>
  </si>
  <si>
    <t xml:space="preserve">TJ ZČE CYKLISTIKA PLZEŇ </t>
  </si>
  <si>
    <t>AUT19960516</t>
  </si>
  <si>
    <t>DYCZEK Felix</t>
  </si>
  <si>
    <t xml:space="preserve">LRV STEIERMARK </t>
  </si>
  <si>
    <t>LRV</t>
  </si>
  <si>
    <t>AUT19960709</t>
  </si>
  <si>
    <t>KOPFAUF Markus</t>
  </si>
  <si>
    <t>AUT19961121</t>
  </si>
  <si>
    <t>KROGER Klemens</t>
  </si>
  <si>
    <t>AUT19961024</t>
  </si>
  <si>
    <t>STATTMANN Lukas</t>
  </si>
  <si>
    <t>AUT19960302</t>
  </si>
  <si>
    <t>TAFERNER Stefan</t>
  </si>
  <si>
    <t>AUT19970406</t>
  </si>
  <si>
    <t>WINTER Stefan</t>
  </si>
  <si>
    <t>AUT19970913</t>
  </si>
  <si>
    <t>DALLINGER Christian</t>
  </si>
  <si>
    <t>CZE19960716</t>
  </si>
  <si>
    <t xml:space="preserve">HYNEK Matouš </t>
  </si>
  <si>
    <t xml:space="preserve">MAPEI CYKLO KAŇKOVSKÝ </t>
  </si>
  <si>
    <t>MAP</t>
  </si>
  <si>
    <t>CZE19971022</t>
  </si>
  <si>
    <t xml:space="preserve">KLEVETA Jakub </t>
  </si>
  <si>
    <t>CZE19960606</t>
  </si>
  <si>
    <t xml:space="preserve">KOVÁŘ Jan </t>
  </si>
  <si>
    <t>CZE19961220</t>
  </si>
  <si>
    <t xml:space="preserve">LOVEČEK Adam </t>
  </si>
  <si>
    <t>CZE19961105</t>
  </si>
  <si>
    <t xml:space="preserve">MUŽ Jan </t>
  </si>
  <si>
    <t>CZE19980130</t>
  </si>
  <si>
    <t xml:space="preserve">OTRUBA Jakub </t>
  </si>
  <si>
    <t>CZE19960618</t>
  </si>
  <si>
    <t xml:space="preserve">PETRUŠ Jiří </t>
  </si>
  <si>
    <t>CZE19960522</t>
  </si>
  <si>
    <t xml:space="preserve">PUDL Tomáš </t>
  </si>
  <si>
    <t>CZE19981228</t>
  </si>
  <si>
    <t xml:space="preserve">WAGNER Jakub </t>
  </si>
  <si>
    <t>CZE19970926</t>
  </si>
  <si>
    <t xml:space="preserve">BRÁZDA Michal </t>
  </si>
  <si>
    <t>CZE19960423</t>
  </si>
  <si>
    <t xml:space="preserve">MORÁVEK Zdeněk </t>
  </si>
  <si>
    <t>ALLTRAINING.CZ</t>
  </si>
  <si>
    <t>REM</t>
  </si>
  <si>
    <t>CZE19970916</t>
  </si>
  <si>
    <t xml:space="preserve">KUNT Lukáš </t>
  </si>
  <si>
    <t xml:space="preserve">REMERX - MERIDA TEAM KOLÍN </t>
  </si>
  <si>
    <t>CZE19970913</t>
  </si>
  <si>
    <t xml:space="preserve">VOJÍŘ Jaroslav </t>
  </si>
  <si>
    <t>CZE19960513</t>
  </si>
  <si>
    <t xml:space="preserve">SCHUBERT Štěpán </t>
  </si>
  <si>
    <t xml:space="preserve">REMERX MERIDA TEAM JUNIOR </t>
  </si>
  <si>
    <t>CZE19970320</t>
  </si>
  <si>
    <t xml:space="preserve">KUTIŠ Martin </t>
  </si>
  <si>
    <t>CZE19980303</t>
  </si>
  <si>
    <t xml:space="preserve">KOUDELA Dominik </t>
  </si>
  <si>
    <t xml:space="preserve">TJ KOVO PRAHA </t>
  </si>
  <si>
    <t>KOV</t>
  </si>
  <si>
    <t>CZE19960127</t>
  </si>
  <si>
    <t xml:space="preserve">ŠIPOŠ Marek </t>
  </si>
  <si>
    <t>CZE19960724</t>
  </si>
  <si>
    <t xml:space="preserve">BECHYNĚ Matěj </t>
  </si>
  <si>
    <t>BEL19970116</t>
  </si>
  <si>
    <t>PENNINCK Jens</t>
  </si>
  <si>
    <t>VZW TIELTSE RENNERSCLUB - JIELKER GELDHOF</t>
  </si>
  <si>
    <t>CZE19970804</t>
  </si>
  <si>
    <t xml:space="preserve">SPUDIL Martin </t>
  </si>
  <si>
    <t xml:space="preserve">SP KOLO LOAP SPECIALIZED </t>
  </si>
  <si>
    <t>AUT19961107</t>
  </si>
  <si>
    <t>FÜHRER Alexander</t>
  </si>
  <si>
    <t>RLM WIEN</t>
  </si>
  <si>
    <t>RCA</t>
  </si>
  <si>
    <t>AUT19961021</t>
  </si>
  <si>
    <t>KNAPP Daniel</t>
  </si>
  <si>
    <t>UNION RAIFFEISEN RADTEAM TIROL</t>
  </si>
  <si>
    <t>CZE19960924</t>
  </si>
  <si>
    <t>CAMRDA Pavel</t>
  </si>
  <si>
    <t>RC ARBÖ WELS GOURMETFEIN</t>
  </si>
  <si>
    <t>AUT19960910</t>
  </si>
  <si>
    <t>HUBER Marcel</t>
  </si>
  <si>
    <t>AUT19970502</t>
  </si>
  <si>
    <t>RECKENDORFER Lukas</t>
  </si>
  <si>
    <t>AUT19970822</t>
  </si>
  <si>
    <t>STEINDLER Julian</t>
  </si>
  <si>
    <t>AUT19960713</t>
  </si>
  <si>
    <t>PÖPPL Tobias</t>
  </si>
  <si>
    <t>RC WALDING</t>
  </si>
  <si>
    <t xml:space="preserve">MODLITBA Vojtěch </t>
  </si>
  <si>
    <t xml:space="preserve">H.M. SPORT ČESKÝ KRUMLOV </t>
  </si>
  <si>
    <t>GER19960322</t>
  </si>
  <si>
    <t>DICKEL Jorge</t>
  </si>
  <si>
    <t>RG BERLIN</t>
  </si>
  <si>
    <t>RGB</t>
  </si>
  <si>
    <t>GER19980505</t>
  </si>
  <si>
    <t>HAUPT Tarik</t>
  </si>
  <si>
    <t>GER19981211</t>
  </si>
  <si>
    <t>POUL Rudolph</t>
  </si>
  <si>
    <t>GER19980223</t>
  </si>
  <si>
    <t>PLAMBECK Philipp</t>
  </si>
  <si>
    <t>RUS19970210</t>
  </si>
  <si>
    <t>GRISHIN Maksim</t>
  </si>
  <si>
    <t>RUSSIAN CYCLING FEDERATION</t>
  </si>
  <si>
    <t>RUS19971119</t>
  </si>
  <si>
    <t>NECHAEV Vladislav</t>
  </si>
  <si>
    <t>RUS19970527</t>
  </si>
  <si>
    <t>PLAKUSHKIN Sergey</t>
  </si>
  <si>
    <t>RUS19970224</t>
  </si>
  <si>
    <t>RIKUNOV Petr</t>
  </si>
  <si>
    <t>RUS19960517</t>
  </si>
  <si>
    <t xml:space="preserve">MARTYSHEV Aleksandr </t>
  </si>
  <si>
    <t>RUS19960101</t>
  </si>
  <si>
    <t xml:space="preserve">BEZDENEZHNYKH Vadim </t>
  </si>
  <si>
    <t>GER19961026</t>
  </si>
  <si>
    <t>FRANZ Paul</t>
  </si>
  <si>
    <t>JUNIOREN SCHWALBE TEAM SACHSEN</t>
  </si>
  <si>
    <t>SAC 134886</t>
  </si>
  <si>
    <t>SCW</t>
  </si>
  <si>
    <t>GER19960405</t>
  </si>
  <si>
    <t>WITTE Reinhard</t>
  </si>
  <si>
    <t>SAC 141671</t>
  </si>
  <si>
    <t>GER19970125</t>
  </si>
  <si>
    <t>FRANZ Toni</t>
  </si>
  <si>
    <t xml:space="preserve">SAC 134961 </t>
  </si>
  <si>
    <t>GER19970806</t>
  </si>
  <si>
    <t>BINAY Noah</t>
  </si>
  <si>
    <t>SAC 142218</t>
  </si>
  <si>
    <t>GER19980114</t>
  </si>
  <si>
    <t>BONNES Julius</t>
  </si>
  <si>
    <t>SAC 142150</t>
  </si>
  <si>
    <t>GER19981217</t>
  </si>
  <si>
    <t>ZÖTTLER Jacob</t>
  </si>
  <si>
    <t>SAC 135443</t>
  </si>
  <si>
    <t>GER19980912</t>
  </si>
  <si>
    <t>CLAUSS Marc</t>
  </si>
  <si>
    <t>SAC 135276</t>
  </si>
  <si>
    <t>GER19980906</t>
  </si>
  <si>
    <t>ZSCHOCKE Maximilian</t>
  </si>
  <si>
    <t>SAC 135079</t>
  </si>
  <si>
    <t>CZE19981231</t>
  </si>
  <si>
    <t xml:space="preserve">BAJER Vilém </t>
  </si>
  <si>
    <t xml:space="preserve">SKC TUFO PROSTĚJOV </t>
  </si>
  <si>
    <t>CZE19971201</t>
  </si>
  <si>
    <t xml:space="preserve">CHYTIL Daniel </t>
  </si>
  <si>
    <t>CZE19971015</t>
  </si>
  <si>
    <t xml:space="preserve">STRUPEK Matyáš </t>
  </si>
  <si>
    <t>CZE19970613</t>
  </si>
  <si>
    <t xml:space="preserve">ŠÁNA Jiří </t>
  </si>
  <si>
    <t>CZE19970118</t>
  </si>
  <si>
    <t>MAYER Daniel</t>
  </si>
  <si>
    <t>KC HLINSKO</t>
  </si>
  <si>
    <t>CZE19960501</t>
  </si>
  <si>
    <t>TOMAN Vojtěch</t>
  </si>
  <si>
    <t>STEVENS ZNOJMO</t>
  </si>
  <si>
    <t>CZE19970417</t>
  </si>
  <si>
    <t>KUBEŠ Martin</t>
  </si>
  <si>
    <t>CK DACOM PHARMA KYJOV</t>
  </si>
  <si>
    <t>CZE19960707</t>
  </si>
  <si>
    <t>SAXA Lukáš</t>
  </si>
  <si>
    <t>CZE19970227</t>
  </si>
  <si>
    <t>PAVKA Filip</t>
  </si>
  <si>
    <t>SVK19970730</t>
  </si>
  <si>
    <t>MEŇUŠ Tomáš</t>
  </si>
  <si>
    <t>CYCLING ACADEMY BRATISLAVA</t>
  </si>
  <si>
    <t>SLA</t>
  </si>
  <si>
    <t>SVK19960505</t>
  </si>
  <si>
    <t>GANC Marek</t>
  </si>
  <si>
    <t>SLÁVIA ŠG TRENČÍN</t>
  </si>
  <si>
    <t>SVK19970207</t>
  </si>
  <si>
    <t>GAVENDA Miroslav</t>
  </si>
  <si>
    <t>SVK19980324</t>
  </si>
  <si>
    <t>KOVÁČ Milan</t>
  </si>
  <si>
    <t>SVK19981117</t>
  </si>
  <si>
    <t>ZEMAN Alex</t>
  </si>
  <si>
    <t>SVK19970301</t>
  </si>
  <si>
    <t>KNIHA Ladislav</t>
  </si>
  <si>
    <t xml:space="preserve">SLOVAK CYCLING FEDERATION </t>
  </si>
  <si>
    <t>SVK19971030</t>
  </si>
  <si>
    <t>ZIMANY Kristian</t>
  </si>
  <si>
    <t>SVK19970117</t>
  </si>
  <si>
    <t>PORUBAN Dominik</t>
  </si>
  <si>
    <t>JELŽA Nicolas</t>
  </si>
  <si>
    <t>SVK19960415</t>
  </si>
  <si>
    <t>ZVERKO David</t>
  </si>
  <si>
    <t>SVK19960130</t>
  </si>
  <si>
    <t>BELLAN Juraj</t>
  </si>
  <si>
    <t>GER19970725</t>
  </si>
  <si>
    <t>MAGDEBURG Tobias</t>
  </si>
  <si>
    <t>RSV SONNEBERG</t>
  </si>
  <si>
    <t>THÜ173735</t>
  </si>
  <si>
    <t>TUR</t>
  </si>
  <si>
    <t>GER19960829</t>
  </si>
  <si>
    <t>SCHUCHMANN Franz-Leon</t>
  </si>
  <si>
    <t>THÜ173330</t>
  </si>
  <si>
    <t>GER19970102</t>
  </si>
  <si>
    <t>ZEISE Paul</t>
  </si>
  <si>
    <t>RSC TURBINE ERFURT</t>
  </si>
  <si>
    <t>THÜ173430</t>
  </si>
  <si>
    <t>GER19960212</t>
  </si>
  <si>
    <t>SCHUBERT Erik</t>
  </si>
  <si>
    <t>RV ELXLEBEN</t>
  </si>
  <si>
    <t>THÜ170276</t>
  </si>
  <si>
    <t>GER19960418</t>
  </si>
  <si>
    <t>JÄGELER Robert</t>
  </si>
  <si>
    <t>THÜ172211</t>
  </si>
  <si>
    <t>GER19970811</t>
  </si>
  <si>
    <t>LINTZEL Philip</t>
  </si>
  <si>
    <t>THÜ173079</t>
  </si>
  <si>
    <t>GER19970419</t>
  </si>
  <si>
    <t>BURCHARDT Karl</t>
  </si>
  <si>
    <t>THÜ173418</t>
  </si>
  <si>
    <t>GER19980416</t>
  </si>
  <si>
    <t>KÄßMANN Fabian</t>
  </si>
  <si>
    <t>1.RSV 1886 GREIZ</t>
  </si>
  <si>
    <t>THÜ173410</t>
  </si>
  <si>
    <t>GER19980730</t>
  </si>
  <si>
    <t>PLUNTKE Moritz</t>
  </si>
  <si>
    <t>THÜ173593</t>
  </si>
  <si>
    <t>GER19970316</t>
  </si>
  <si>
    <t>WELTZ Niclas</t>
  </si>
  <si>
    <t>THÜ173103</t>
  </si>
  <si>
    <t>počet závodíků / num. of riders: 130</t>
  </si>
  <si>
    <t>BER 032308</t>
  </si>
  <si>
    <t>03.15928.12</t>
  </si>
  <si>
    <t>BER 032411</t>
  </si>
  <si>
    <t>HAM062726</t>
  </si>
  <si>
    <t>SLA012</t>
  </si>
  <si>
    <t>SLA231</t>
  </si>
  <si>
    <t>SLA008</t>
  </si>
  <si>
    <t>SLA219</t>
  </si>
  <si>
    <t>OPO-016</t>
  </si>
  <si>
    <t>DLS163</t>
  </si>
  <si>
    <t>DLS272</t>
  </si>
  <si>
    <t>DLS161</t>
  </si>
  <si>
    <t>DLS177</t>
  </si>
  <si>
    <t>DLS162</t>
  </si>
  <si>
    <t>DLS164</t>
  </si>
  <si>
    <t>B0277</t>
  </si>
  <si>
    <t>B0270</t>
  </si>
  <si>
    <t>B0275</t>
  </si>
  <si>
    <t>B0271</t>
  </si>
  <si>
    <t>B0273</t>
  </si>
  <si>
    <t>B0280</t>
  </si>
  <si>
    <t>Lískový kopec 23 km</t>
  </si>
  <si>
    <t>Lískový kopec 41 km</t>
  </si>
  <si>
    <t>Lískový kopec 63 km</t>
  </si>
  <si>
    <t>Lanškroun 33</t>
  </si>
  <si>
    <t>Lanškroun 55</t>
  </si>
  <si>
    <t xml:space="preserve">GRUPA KOLARSKA GLIWICE BA, ACK STARÁ VES NAD ONDŘEJNICÍ , KLUCZBORK, CK FESO PETŘVALD, TJ SIGMA HRANICE , SK JIŘÍ TEAM OSTRAVA </t>
  </si>
  <si>
    <t>KC KOOPERATIVA SG JABLONEC N.N, KOLA-BBM.CZ</t>
  </si>
  <si>
    <t xml:space="preserve">TJ KOVO PRAHA, VZW TIELTSE RENNERSCLUB - JG, SP KOLO LOAP SPECIALIZED </t>
  </si>
  <si>
    <t xml:space="preserve">TJ STADION LOUNY , SKP DUHA FORT LANŠKROUN, NUTREND SPECIALIZED RACING , PROFI SPORT CHEB , TJ ZČE CYKLISTIKA PLZEŇ </t>
  </si>
  <si>
    <t xml:space="preserve">RC ARBÖ WELS GOURMETFEIN, RLM WIEN, UNION RAIFFEISEN RADTEAM TIROL, RC WALDING, H.M. SPORT ČESKÝ KRUMLOV </t>
  </si>
  <si>
    <t>REMERX - MERIDA TEAM KOLÍN, REMERX MERIDA TEAM JUNIOR, ALLTRAINING.CZ</t>
  </si>
  <si>
    <t>SKC TUFO PROSTĚJOV, STEVENS ZNOJMO, KC HLINSKO, CK DACOM PHARMA KYJOV</t>
  </si>
  <si>
    <t>SLÁVIA ŠG TRENČÍN, CYCLING ACADEMY BRATISLAVA</t>
  </si>
  <si>
    <t>RSC TURBINE ERFURT, RSV SONNEBERG, RV ELXLEBEN, 1.RSV 1886 GREIZ</t>
  </si>
  <si>
    <t>BODOVACITST1</t>
  </si>
  <si>
    <t>Lískový kopec 23</t>
  </si>
  <si>
    <t>Lískový kopec 41</t>
  </si>
  <si>
    <t>Lískový kopec 63</t>
  </si>
  <si>
    <t>ACTIVERIDERS1</t>
  </si>
  <si>
    <t>OVL</t>
  </si>
  <si>
    <r>
      <rPr>
        <b/>
        <sz val="10"/>
        <rFont val="Calibri"/>
        <family val="2"/>
      </rPr>
      <t>modré puntíky / blue dot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</si>
  <si>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bílý / white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young junior)</t>
    </r>
    <r>
      <rPr>
        <sz val="10"/>
        <rFont val="Calibri"/>
        <family val="2"/>
      </rPr>
      <t xml:space="preserve">    </t>
    </r>
  </si>
  <si>
    <t xml:space="preserve">nejlepší kadet / the best cadet </t>
  </si>
  <si>
    <r>
      <t xml:space="preserve">Bod 5.23.1 Chvilková jízda v závěsu za vozidlem - napomenutí pro týmy: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 xml:space="preserve">
Pádem postiženi (čas hlavního balíku):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Defekt v ochranné zóně (čas hlavního balíku):</t>
    </r>
    <r>
      <rPr>
        <sz val="10"/>
        <rFont val="Calibri"/>
        <family val="2"/>
        <charset val="238"/>
      </rPr>
      <t xml:space="preserve">
- 131</t>
    </r>
  </si>
  <si>
    <r>
      <t xml:space="preserve">Point 5.23.1 Riding tow vehicle for a short time - warning for teams: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>Riders in the fall (time of main bunch):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Defect in protective zone (time of main bunch):</t>
    </r>
    <r>
      <rPr>
        <sz val="10"/>
        <rFont val="Calibri"/>
        <family val="2"/>
        <charset val="238"/>
      </rPr>
      <t xml:space="preserve">
- 131</t>
    </r>
  </si>
  <si>
    <t>ČAS STARTU</t>
  </si>
  <si>
    <t>Start Time</t>
  </si>
  <si>
    <t>Startovní listina / Start List</t>
  </si>
  <si>
    <t>počet závodíků / num. of riders: 118</t>
  </si>
  <si>
    <t>STOPKY</t>
  </si>
  <si>
    <t>GAP vals</t>
  </si>
  <si>
    <t>PENALIZACE</t>
  </si>
  <si>
    <t>101, 106, 105</t>
  </si>
  <si>
    <t>116, 113, 111</t>
  </si>
  <si>
    <t>137, 134, 136</t>
  </si>
  <si>
    <t>143, 150, 147</t>
  </si>
  <si>
    <t>151, 124, 123</t>
  </si>
  <si>
    <t>165, 161, 166</t>
  </si>
  <si>
    <t>17, 12, 18</t>
  </si>
  <si>
    <t>175, 171, 173</t>
  </si>
  <si>
    <t>182, 185, 181</t>
  </si>
  <si>
    <t>2, 7, 5</t>
  </si>
  <si>
    <t>22, 24, 21</t>
  </si>
  <si>
    <t>34, 31, 32</t>
  </si>
  <si>
    <t>48, 49, 45</t>
  </si>
  <si>
    <t>57, 55, 51</t>
  </si>
  <si>
    <t>63, 62, 65</t>
  </si>
  <si>
    <t>75, 73, 71</t>
  </si>
  <si>
    <t>83, 85, 84</t>
  </si>
  <si>
    <t>93, 96, 94</t>
  </si>
  <si>
    <t>Stg Sum</t>
  </si>
  <si>
    <t>Sdělení sboru rozhodčích 2 / Communique of jury 2</t>
  </si>
  <si>
    <r>
      <t xml:space="preserve">Dle článku 7.3. pravidel ČSC - přestupky proti pravidlům vztahujícím se k trati - pokuta 500 Kč pro startovní číslo: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</si>
  <si>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r>
      <t xml:space="preserve">According to article 7.3. of ČSC rules -  offences against the rules relating to the track - rider was punished by fine 500 Kč: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</si>
  <si>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t>Nositelé trikotů pro třetí etapu / Jersey holders for the third stage</t>
  </si>
  <si>
    <t>116, 115, 117</t>
  </si>
  <si>
    <t>94, 97, 96</t>
  </si>
  <si>
    <t>57, 52, 56</t>
  </si>
  <si>
    <t>62, 63, 65</t>
  </si>
  <si>
    <t>45, 44, 41</t>
  </si>
  <si>
    <t>82, 85, 81</t>
  </si>
  <si>
    <t>105, 106, 107</t>
  </si>
  <si>
    <t>146, 143, 150</t>
  </si>
  <si>
    <t>133, 137, 134</t>
  </si>
  <si>
    <t>34, 35, 31</t>
  </si>
  <si>
    <t>21, 24, 22</t>
  </si>
  <si>
    <t>166, 164, 163</t>
  </si>
  <si>
    <t>12, 13, 17</t>
  </si>
  <si>
    <t>124, 123, 151</t>
  </si>
  <si>
    <t>71, 75, 72</t>
  </si>
  <si>
    <t>175, 176, 171</t>
  </si>
  <si>
    <t>7, 4, 2</t>
  </si>
  <si>
    <t>počet závodíků / num. of riders: 117</t>
  </si>
  <si>
    <t>3. / 3rd</t>
  </si>
  <si>
    <t>4. / 4th</t>
  </si>
  <si>
    <t>5. / 5th</t>
  </si>
  <si>
    <t>Červenovodské sedlo 9,7 km</t>
  </si>
  <si>
    <t>Zborov 38,5 km</t>
  </si>
  <si>
    <t>Nositelé trikotů pro čtvrtou etapu / Jersey holders for the fourth stage</t>
  </si>
  <si>
    <t>Pořadí mechanických vozů pro čtvrtou etapu / Order of the mechanical cars for the fourth stage</t>
  </si>
  <si>
    <t>Šedivec 34 km</t>
  </si>
  <si>
    <t>Lískový kopec 23km</t>
  </si>
  <si>
    <t>Lískový kopec 41km</t>
  </si>
  <si>
    <t>Lískový kopec 63km</t>
  </si>
  <si>
    <t>Rozsocha 56 km</t>
  </si>
  <si>
    <t>Adrlův Chlum 67 km</t>
  </si>
  <si>
    <t>Skuhrov 86,2</t>
  </si>
  <si>
    <t>Žamberk Náměstí 41 km</t>
  </si>
  <si>
    <t>Řetová 71 km</t>
  </si>
  <si>
    <t>Česká Třebová 80 km</t>
  </si>
  <si>
    <t>Lanškroun 55 km</t>
  </si>
  <si>
    <t>Lanškroun 33 km</t>
  </si>
  <si>
    <t>BODO3</t>
  </si>
  <si>
    <t>AFTER3</t>
  </si>
  <si>
    <t>Sdělení sboru rozhodčích 3 / Communique of jury 3</t>
  </si>
  <si>
    <t>Z důvodu povětrnostních podmínek byl závod (3. etapa) zkrácen - výsledná délka 68 km. Zároveň byla zrušena 3. VP.
According to weather conditions race (3rd stage) was shorten to final lenght 68 km. Third CC was canceled.</t>
  </si>
  <si>
    <t>Crhov 48,4 km</t>
  </si>
  <si>
    <t>Cokytle 52,1 km</t>
  </si>
  <si>
    <t>Pádem postižen závodník číslo 22, 85, 103.
Riders with numbers 22, 85, 103 were affected by fall.</t>
  </si>
  <si>
    <t>počet závodíků / num. of riders: 115</t>
  </si>
  <si>
    <r>
      <rPr>
        <b/>
        <sz val="10"/>
        <rFont val="Calibri"/>
        <family val="2"/>
      </rPr>
      <t xml:space="preserve">modrý / blue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</si>
  <si>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t>115, 116, 117</t>
  </si>
  <si>
    <t>97, 93, 96</t>
  </si>
  <si>
    <t>52, 56, 51</t>
  </si>
  <si>
    <t>62, 65, 63</t>
  </si>
  <si>
    <t>45, 41, 49</t>
  </si>
  <si>
    <t>82, 84, 85</t>
  </si>
  <si>
    <t>101, 105, 106</t>
  </si>
  <si>
    <t>187, 181, 185</t>
  </si>
  <si>
    <t>146, 150, 148</t>
  </si>
  <si>
    <t>133, 132, 131</t>
  </si>
  <si>
    <t>34, 31, 35</t>
  </si>
  <si>
    <t>21, 22, 24</t>
  </si>
  <si>
    <t>161, 166, 164</t>
  </si>
  <si>
    <t>13, 17, 18</t>
  </si>
  <si>
    <t>71, 73, 75</t>
  </si>
  <si>
    <t>175, 176, 172</t>
  </si>
  <si>
    <t>4, 2, 3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</si>
</sst>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h:mm:ss.000"/>
    <numFmt numFmtId="166" formatCode="mm:ss.00"/>
  </numFmts>
  <fonts count="77" x14ac:knownFonts="1">
    <font>
      <sz val="10"/>
      <name val="Arial"/>
    </font>
    <font>
      <sz val="10"/>
      <name val="Arial"/>
      <family val="2"/>
      <charset val="238"/>
    </font>
    <font>
      <sz val="10"/>
      <name val="Arial CE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2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20"/>
      <color indexed="8"/>
      <name val="Calibri"/>
      <family val="2"/>
    </font>
    <font>
      <b/>
      <i/>
      <sz val="14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2"/>
      <color indexed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</font>
    <font>
      <b/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"/>
      <color indexed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7"/>
      <color indexed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name val="Calibri"/>
      <family val="2"/>
      <charset val="238"/>
    </font>
    <font>
      <sz val="10"/>
      <color rgb="FFFF0000"/>
      <name val="Calibri"/>
      <family val="2"/>
    </font>
    <font>
      <b/>
      <sz val="9"/>
      <name val="Calibri"/>
      <family val="2"/>
      <charset val="238"/>
      <scheme val="minor"/>
    </font>
    <font>
      <sz val="7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FF0000"/>
      </patternFill>
    </fill>
    <fill>
      <patternFill patternType="gray0625">
        <fgColor rgb="FFFF00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indexed="8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indexed="8"/>
      </left>
      <right style="hair">
        <color indexed="8"/>
      </right>
      <top/>
      <bottom style="hair">
        <color theme="1" tint="0.499984740745262"/>
      </bottom>
      <diagonal/>
    </border>
    <border>
      <left/>
      <right style="hair">
        <color indexed="8"/>
      </right>
      <top/>
      <bottom style="hair">
        <color theme="1" tint="0.499984740745262"/>
      </bottom>
      <diagonal/>
    </border>
    <border>
      <left style="thin">
        <color indexed="8"/>
      </left>
      <right style="hair">
        <color indexed="8"/>
      </right>
      <top/>
      <bottom style="hair">
        <color theme="1" tint="0.499984740745262"/>
      </bottom>
      <diagonal/>
    </border>
    <border diagonalUp="1" diagonalDown="1">
      <left/>
      <right/>
      <top style="hair">
        <color theme="1" tint="0.499984740745262"/>
      </top>
      <bottom style="hair">
        <color theme="1" tint="0.499984740745262"/>
      </bottom>
      <diagonal style="medium">
        <color theme="1" tint="0.24994659260841701"/>
      </diagonal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theme="1" tint="0.499984740745262"/>
      </bottom>
      <diagonal/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/>
      <bottom style="hair">
        <color theme="1" tint="0.499984740745262"/>
      </bottom>
      <diagonal style="dotted">
        <color theme="0" tint="-0.499984740745262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314">
    <xf numFmtId="0" fontId="0" fillId="0" borderId="0" xfId="0"/>
    <xf numFmtId="0" fontId="25" fillId="0" borderId="0" xfId="0" applyFont="1" applyAlignment="1">
      <alignment horizontal="center"/>
    </xf>
    <xf numFmtId="0" fontId="26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0" fillId="0" borderId="0" xfId="0" applyBorder="1"/>
    <xf numFmtId="0" fontId="26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5" fillId="0" borderId="0" xfId="0" applyFont="1" applyBorder="1"/>
    <xf numFmtId="0" fontId="27" fillId="0" borderId="0" xfId="0" applyFont="1"/>
    <xf numFmtId="0" fontId="28" fillId="0" borderId="0" xfId="0" applyFont="1" applyAlignment="1">
      <alignment horizontal="left"/>
    </xf>
    <xf numFmtId="0" fontId="25" fillId="0" borderId="0" xfId="0" applyFont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29" fillId="0" borderId="0" xfId="0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/>
    </xf>
    <xf numFmtId="1" fontId="3" fillId="0" borderId="21" xfId="0" applyNumberFormat="1" applyFont="1" applyBorder="1" applyAlignment="1">
      <alignment horizontal="center"/>
    </xf>
    <xf numFmtId="0" fontId="0" fillId="0" borderId="0" xfId="0" applyFill="1"/>
    <xf numFmtId="0" fontId="28" fillId="0" borderId="0" xfId="0" applyFont="1" applyAlignment="1">
      <alignment horizontal="right"/>
    </xf>
    <xf numFmtId="0" fontId="25" fillId="0" borderId="0" xfId="0" applyFont="1" applyFill="1" applyBorder="1" applyAlignment="1">
      <alignment horizontal="left"/>
    </xf>
    <xf numFmtId="0" fontId="25" fillId="0" borderId="0" xfId="0" applyFont="1"/>
    <xf numFmtId="0" fontId="27" fillId="0" borderId="0" xfId="0" applyFont="1" applyAlignment="1">
      <alignment horizontal="right"/>
    </xf>
    <xf numFmtId="14" fontId="27" fillId="0" borderId="0" xfId="0" applyNumberFormat="1" applyFont="1"/>
    <xf numFmtId="0" fontId="27" fillId="0" borderId="0" xfId="0" applyNumberFormat="1" applyFont="1" applyAlignment="1">
      <alignment horizontal="right"/>
    </xf>
    <xf numFmtId="0" fontId="30" fillId="3" borderId="2" xfId="0" applyFont="1" applyFill="1" applyBorder="1" applyAlignment="1">
      <alignment vertical="center"/>
    </xf>
    <xf numFmtId="0" fontId="31" fillId="3" borderId="2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right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center" vertical="center"/>
    </xf>
    <xf numFmtId="21" fontId="26" fillId="5" borderId="21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5" fillId="0" borderId="5" xfId="0" applyFont="1" applyFill="1" applyBorder="1"/>
    <xf numFmtId="0" fontId="5" fillId="0" borderId="0" xfId="0" applyNumberFormat="1" applyFont="1" applyBorder="1" applyAlignment="1">
      <alignment horizontal="center"/>
    </xf>
    <xf numFmtId="21" fontId="29" fillId="6" borderId="21" xfId="0" applyNumberFormat="1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21" fontId="29" fillId="0" borderId="21" xfId="0" applyNumberFormat="1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/>
    </xf>
    <xf numFmtId="0" fontId="0" fillId="8" borderId="5" xfId="0" applyFill="1" applyBorder="1"/>
    <xf numFmtId="21" fontId="5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6" borderId="21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0" fontId="36" fillId="9" borderId="0" xfId="0" applyFont="1" applyFill="1"/>
    <xf numFmtId="0" fontId="36" fillId="0" borderId="0" xfId="0" applyFont="1" applyFill="1"/>
    <xf numFmtId="0" fontId="27" fillId="0" borderId="0" xfId="0" applyFont="1" applyFill="1"/>
    <xf numFmtId="0" fontId="37" fillId="0" borderId="0" xfId="0" applyFont="1" applyAlignment="1"/>
    <xf numFmtId="0" fontId="28" fillId="0" borderId="5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30" fillId="3" borderId="0" xfId="0" applyFont="1" applyFill="1" applyBorder="1" applyAlignment="1">
      <alignment horizontal="left" vertical="center"/>
    </xf>
    <xf numFmtId="0" fontId="30" fillId="3" borderId="21" xfId="0" applyNumberFormat="1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0" fontId="35" fillId="0" borderId="0" xfId="0" applyFont="1"/>
    <xf numFmtId="0" fontId="30" fillId="3" borderId="3" xfId="0" applyFont="1" applyFill="1" applyBorder="1" applyAlignment="1">
      <alignment horizontal="right" vertical="center"/>
    </xf>
    <xf numFmtId="1" fontId="7" fillId="5" borderId="21" xfId="0" applyNumberFormat="1" applyFont="1" applyFill="1" applyBorder="1" applyAlignment="1">
      <alignment horizontal="center" vertical="center"/>
    </xf>
    <xf numFmtId="1" fontId="8" fillId="5" borderId="21" xfId="0" applyNumberFormat="1" applyFont="1" applyFill="1" applyBorder="1" applyAlignment="1">
      <alignment horizontal="left" vertical="center"/>
    </xf>
    <xf numFmtId="21" fontId="8" fillId="6" borderId="1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27" fillId="10" borderId="0" xfId="0" applyFont="1" applyFill="1"/>
    <xf numFmtId="0" fontId="27" fillId="0" borderId="0" xfId="2" applyFont="1" applyFill="1" applyBorder="1" applyAlignment="1">
      <alignment horizontal="left"/>
    </xf>
    <xf numFmtId="1" fontId="27" fillId="5" borderId="21" xfId="0" applyNumberFormat="1" applyFont="1" applyFill="1" applyBorder="1" applyAlignment="1">
      <alignment horizontal="center" vertical="center"/>
    </xf>
    <xf numFmtId="1" fontId="36" fillId="5" borderId="21" xfId="0" applyNumberFormat="1" applyFont="1" applyFill="1" applyBorder="1" applyAlignment="1">
      <alignment horizontal="left" vertical="center"/>
    </xf>
    <xf numFmtId="1" fontId="27" fillId="5" borderId="21" xfId="0" applyNumberFormat="1" applyFont="1" applyFill="1" applyBorder="1" applyAlignment="1">
      <alignment vertical="center"/>
    </xf>
    <xf numFmtId="0" fontId="27" fillId="5" borderId="21" xfId="0" applyNumberFormat="1" applyFont="1" applyFill="1" applyBorder="1" applyAlignment="1">
      <alignment horizontal="left" vertical="center"/>
    </xf>
    <xf numFmtId="0" fontId="27" fillId="5" borderId="21" xfId="0" applyNumberFormat="1" applyFont="1" applyFill="1" applyBorder="1" applyAlignment="1">
      <alignment horizontal="center" vertical="center"/>
    </xf>
    <xf numFmtId="21" fontId="28" fillId="6" borderId="1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30" fillId="3" borderId="13" xfId="0" applyFont="1" applyFill="1" applyBorder="1" applyAlignment="1">
      <alignment vertical="center"/>
    </xf>
    <xf numFmtId="0" fontId="31" fillId="3" borderId="13" xfId="0" applyFont="1" applyFill="1" applyBorder="1" applyAlignment="1">
      <alignment vertical="center"/>
    </xf>
    <xf numFmtId="0" fontId="25" fillId="0" borderId="14" xfId="0" applyFont="1" applyBorder="1"/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9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10" fillId="0" borderId="0" xfId="0" applyFont="1"/>
    <xf numFmtId="0" fontId="40" fillId="0" borderId="0" xfId="0" applyFont="1" applyBorder="1" applyAlignment="1">
      <alignment horizontal="right" vertical="center"/>
    </xf>
    <xf numFmtId="0" fontId="11" fillId="0" borderId="0" xfId="0" applyFont="1"/>
    <xf numFmtId="0" fontId="41" fillId="3" borderId="0" xfId="0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6" fillId="9" borderId="0" xfId="0" applyFont="1" applyFill="1" applyAlignment="1">
      <alignment horizontal="left"/>
    </xf>
    <xf numFmtId="0" fontId="7" fillId="0" borderId="0" xfId="0" applyFont="1"/>
    <xf numFmtId="0" fontId="3" fillId="5" borderId="21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13" borderId="22" xfId="0" applyFont="1" applyFill="1" applyBorder="1" applyAlignment="1">
      <alignment horizontal="center" vertical="center"/>
    </xf>
    <xf numFmtId="0" fontId="23" fillId="13" borderId="22" xfId="0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left" vertical="center"/>
    </xf>
    <xf numFmtId="1" fontId="3" fillId="5" borderId="21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44" fillId="13" borderId="21" xfId="0" applyNumberFormat="1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5" borderId="22" xfId="0" applyFont="1" applyFill="1" applyBorder="1" applyAlignment="1">
      <alignment vertical="center"/>
    </xf>
    <xf numFmtId="0" fontId="22" fillId="16" borderId="20" xfId="0" applyNumberFormat="1" applyFont="1" applyFill="1" applyBorder="1" applyAlignment="1">
      <alignment horizontal="center" vertical="center"/>
    </xf>
    <xf numFmtId="0" fontId="22" fillId="16" borderId="0" xfId="0" applyFont="1" applyFill="1" applyBorder="1" applyAlignment="1">
      <alignment horizontal="left" vertical="center"/>
    </xf>
    <xf numFmtId="0" fontId="22" fillId="16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45" fillId="0" borderId="0" xfId="0" applyFont="1"/>
    <xf numFmtId="0" fontId="45" fillId="0" borderId="0" xfId="0" applyFont="1" applyBorder="1"/>
    <xf numFmtId="0" fontId="46" fillId="0" borderId="0" xfId="0" applyFont="1" applyBorder="1"/>
    <xf numFmtId="0" fontId="42" fillId="6" borderId="0" xfId="0" applyFont="1" applyFill="1" applyBorder="1" applyAlignment="1">
      <alignment horizontal="center" vertical="center"/>
    </xf>
    <xf numFmtId="0" fontId="17" fillId="17" borderId="20" xfId="0" applyFont="1" applyFill="1" applyBorder="1" applyAlignment="1">
      <alignment horizontal="center" vertical="center"/>
    </xf>
    <xf numFmtId="0" fontId="3" fillId="5" borderId="21" xfId="0" applyNumberFormat="1" applyFont="1" applyFill="1" applyBorder="1" applyAlignment="1">
      <alignment horizontal="left" vertical="center"/>
    </xf>
    <xf numFmtId="0" fontId="42" fillId="6" borderId="0" xfId="0" applyFont="1" applyFill="1" applyBorder="1" applyAlignment="1">
      <alignment horizontal="center" vertical="center"/>
    </xf>
    <xf numFmtId="0" fontId="56" fillId="0" borderId="0" xfId="0" applyFont="1"/>
    <xf numFmtId="0" fontId="58" fillId="0" borderId="0" xfId="0" applyFont="1"/>
    <xf numFmtId="0" fontId="56" fillId="0" borderId="0" xfId="0" applyFont="1" applyAlignment="1">
      <alignment textRotation="90" wrapText="1"/>
    </xf>
    <xf numFmtId="0" fontId="58" fillId="0" borderId="0" xfId="0" applyFont="1" applyAlignment="1">
      <alignment horizontal="left" vertical="top"/>
    </xf>
    <xf numFmtId="0" fontId="56" fillId="0" borderId="1" xfId="0" applyFont="1" applyFill="1" applyBorder="1" applyAlignment="1">
      <alignment horizontal="center"/>
    </xf>
    <xf numFmtId="0" fontId="56" fillId="14" borderId="0" xfId="0" applyFont="1" applyFill="1"/>
    <xf numFmtId="0" fontId="59" fillId="0" borderId="20" xfId="0" applyFont="1" applyBorder="1" applyAlignment="1">
      <alignment horizontal="center" vertical="center"/>
    </xf>
    <xf numFmtId="0" fontId="56" fillId="0" borderId="0" xfId="0" applyFont="1" applyFill="1"/>
    <xf numFmtId="0" fontId="25" fillId="0" borderId="6" xfId="0" applyFont="1" applyBorder="1"/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0" fontId="55" fillId="0" borderId="0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0" fontId="25" fillId="0" borderId="12" xfId="0" applyFont="1" applyBorder="1"/>
    <xf numFmtId="49" fontId="4" fillId="5" borderId="21" xfId="0" applyNumberFormat="1" applyFont="1" applyFill="1" applyBorder="1" applyAlignment="1">
      <alignment horizontal="left" vertical="center"/>
    </xf>
    <xf numFmtId="0" fontId="60" fillId="0" borderId="0" xfId="0" applyFont="1" applyBorder="1" applyAlignment="1">
      <alignment vertical="center"/>
    </xf>
    <xf numFmtId="20" fontId="29" fillId="5" borderId="21" xfId="0" applyNumberFormat="1" applyFont="1" applyFill="1" applyBorder="1" applyAlignment="1">
      <alignment horizontal="center" vertical="center"/>
    </xf>
    <xf numFmtId="0" fontId="61" fillId="0" borderId="0" xfId="0" applyFont="1"/>
    <xf numFmtId="0" fontId="38" fillId="3" borderId="21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0" fontId="25" fillId="18" borderId="0" xfId="0" applyFont="1" applyFill="1"/>
    <xf numFmtId="0" fontId="63" fillId="3" borderId="5" xfId="0" applyFont="1" applyFill="1" applyBorder="1"/>
    <xf numFmtId="0" fontId="64" fillId="7" borderId="5" xfId="0" applyFont="1" applyFill="1" applyBorder="1"/>
    <xf numFmtId="0" fontId="39" fillId="12" borderId="16" xfId="0" applyFont="1" applyFill="1" applyBorder="1" applyAlignment="1">
      <alignment vertical="center"/>
    </xf>
    <xf numFmtId="21" fontId="2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21" fontId="4" fillId="6" borderId="1" xfId="0" applyNumberFormat="1" applyFont="1" applyFill="1" applyBorder="1" applyAlignment="1">
      <alignment horizontal="center" vertical="center"/>
    </xf>
    <xf numFmtId="0" fontId="14" fillId="19" borderId="0" xfId="0" applyFont="1" applyFill="1"/>
    <xf numFmtId="0" fontId="0" fillId="19" borderId="0" xfId="0" applyFill="1"/>
    <xf numFmtId="0" fontId="0" fillId="20" borderId="0" xfId="0" applyFill="1"/>
    <xf numFmtId="0" fontId="0" fillId="20" borderId="0" xfId="0" applyFill="1" applyBorder="1"/>
    <xf numFmtId="0" fontId="65" fillId="19" borderId="0" xfId="0" applyFont="1" applyFill="1" applyBorder="1"/>
    <xf numFmtId="0" fontId="14" fillId="19" borderId="0" xfId="0" applyFont="1" applyFill="1" applyBorder="1"/>
    <xf numFmtId="0" fontId="12" fillId="20" borderId="0" xfId="0" applyFont="1" applyFill="1" applyBorder="1"/>
    <xf numFmtId="1" fontId="3" fillId="20" borderId="0" xfId="0" applyNumberFormat="1" applyFont="1" applyFill="1" applyBorder="1" applyAlignment="1">
      <alignment horizontal="center"/>
    </xf>
    <xf numFmtId="0" fontId="14" fillId="20" borderId="0" xfId="0" applyFont="1" applyFill="1"/>
    <xf numFmtId="0" fontId="14" fillId="20" borderId="0" xfId="0" applyFont="1" applyFill="1" applyBorder="1"/>
    <xf numFmtId="0" fontId="66" fillId="0" borderId="0" xfId="0" applyFont="1" applyFill="1" applyBorder="1"/>
    <xf numFmtId="0" fontId="1" fillId="0" borderId="0" xfId="0" applyFont="1" applyBorder="1"/>
    <xf numFmtId="1" fontId="4" fillId="0" borderId="5" xfId="0" applyNumberFormat="1" applyFont="1" applyBorder="1" applyAlignment="1">
      <alignment horizontal="left"/>
    </xf>
    <xf numFmtId="0" fontId="0" fillId="0" borderId="5" xfId="0" applyBorder="1"/>
    <xf numFmtId="0" fontId="68" fillId="0" borderId="0" xfId="0" applyFont="1" applyBorder="1"/>
    <xf numFmtId="1" fontId="67" fillId="10" borderId="21" xfId="0" applyNumberFormat="1" applyFont="1" applyFill="1" applyBorder="1" applyAlignment="1">
      <alignment horizontal="center" vertical="center"/>
    </xf>
    <xf numFmtId="21" fontId="26" fillId="10" borderId="21" xfId="0" applyNumberFormat="1" applyFont="1" applyFill="1" applyBorder="1" applyAlignment="1">
      <alignment horizontal="center" vertical="center"/>
    </xf>
    <xf numFmtId="0" fontId="69" fillId="5" borderId="21" xfId="0" applyNumberFormat="1" applyFont="1" applyFill="1" applyBorder="1" applyAlignment="1">
      <alignment horizontal="center" vertical="center"/>
    </xf>
    <xf numFmtId="21" fontId="70" fillId="5" borderId="21" xfId="0" applyNumberFormat="1" applyFont="1" applyFill="1" applyBorder="1" applyAlignment="1">
      <alignment horizontal="center" vertical="center"/>
    </xf>
    <xf numFmtId="1" fontId="71" fillId="5" borderId="21" xfId="0" applyNumberFormat="1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  <xf numFmtId="1" fontId="71" fillId="10" borderId="0" xfId="0" applyNumberFormat="1" applyFont="1" applyFill="1" applyBorder="1" applyAlignment="1">
      <alignment horizontal="center" vertical="center"/>
    </xf>
    <xf numFmtId="1" fontId="69" fillId="5" borderId="2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56" fillId="21" borderId="0" xfId="0" applyFont="1" applyFill="1"/>
    <xf numFmtId="0" fontId="35" fillId="0" borderId="0" xfId="0" applyFont="1" applyBorder="1" applyAlignment="1">
      <alignment horizontal="right"/>
    </xf>
    <xf numFmtId="1" fontId="27" fillId="5" borderId="0" xfId="0" applyNumberFormat="1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58" fillId="22" borderId="0" xfId="0" applyFont="1" applyFill="1"/>
    <xf numFmtId="0" fontId="74" fillId="22" borderId="0" xfId="0" applyFont="1" applyFill="1"/>
    <xf numFmtId="46" fontId="72" fillId="6" borderId="1" xfId="0" applyNumberFormat="1" applyFont="1" applyFill="1" applyBorder="1" applyAlignment="1">
      <alignment horizontal="center" vertical="center"/>
    </xf>
    <xf numFmtId="46" fontId="28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42" fillId="6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75" fillId="0" borderId="0" xfId="0" applyFont="1" applyFill="1"/>
    <xf numFmtId="0" fontId="75" fillId="0" borderId="0" xfId="0" applyFont="1"/>
    <xf numFmtId="0" fontId="42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" fontId="25" fillId="0" borderId="0" xfId="0" applyNumberFormat="1" applyFont="1"/>
    <xf numFmtId="0" fontId="6" fillId="0" borderId="21" xfId="0" applyNumberFormat="1" applyFont="1" applyBorder="1" applyAlignment="1">
      <alignment horizontal="center"/>
    </xf>
    <xf numFmtId="1" fontId="73" fillId="5" borderId="2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vertical="top" wrapText="1"/>
    </xf>
    <xf numFmtId="164" fontId="28" fillId="6" borderId="1" xfId="0" applyNumberFormat="1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left" vertical="center" wrapText="1"/>
    </xf>
    <xf numFmtId="21" fontId="76" fillId="5" borderId="21" xfId="0" applyNumberFormat="1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/>
    </xf>
    <xf numFmtId="0" fontId="1" fillId="0" borderId="0" xfId="0" applyFont="1"/>
    <xf numFmtId="165" fontId="0" fillId="23" borderId="0" xfId="0" applyNumberFormat="1" applyFill="1"/>
    <xf numFmtId="20" fontId="0" fillId="0" borderId="0" xfId="0" applyNumberFormat="1"/>
    <xf numFmtId="165" fontId="1" fillId="23" borderId="0" xfId="0" applyNumberFormat="1" applyFont="1" applyFill="1"/>
    <xf numFmtId="165" fontId="1" fillId="0" borderId="0" xfId="0" applyNumberFormat="1" applyFont="1" applyFill="1"/>
    <xf numFmtId="20" fontId="0" fillId="0" borderId="0" xfId="0" applyNumberFormat="1" applyFill="1"/>
    <xf numFmtId="21" fontId="0" fillId="0" borderId="0" xfId="0" applyNumberFormat="1" applyFill="1"/>
    <xf numFmtId="165" fontId="0" fillId="0" borderId="0" xfId="0" applyNumberFormat="1" applyFill="1"/>
    <xf numFmtId="166" fontId="28" fillId="6" borderId="1" xfId="0" applyNumberFormat="1" applyFont="1" applyFill="1" applyBorder="1" applyAlignment="1">
      <alignment horizontal="center" vertical="center"/>
    </xf>
    <xf numFmtId="166" fontId="26" fillId="5" borderId="21" xfId="0" applyNumberFormat="1" applyFont="1" applyFill="1" applyBorder="1" applyAlignment="1">
      <alignment horizontal="center" vertical="center"/>
    </xf>
    <xf numFmtId="165" fontId="1" fillId="23" borderId="0" xfId="0" applyNumberFormat="1" applyFont="1" applyFill="1" applyAlignment="1">
      <alignment horizontal="right"/>
    </xf>
    <xf numFmtId="45" fontId="0" fillId="24" borderId="0" xfId="0" applyNumberFormat="1" applyFill="1"/>
    <xf numFmtId="165" fontId="5" fillId="0" borderId="1" xfId="0" applyNumberFormat="1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center"/>
    </xf>
    <xf numFmtId="1" fontId="3" fillId="5" borderId="28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/>
    <xf numFmtId="0" fontId="39" fillId="12" borderId="16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left" vertical="top" wrapText="1"/>
    </xf>
    <xf numFmtId="0" fontId="36" fillId="0" borderId="23" xfId="0" applyNumberFormat="1" applyFont="1" applyFill="1" applyBorder="1" applyAlignment="1">
      <alignment horizontal="right" vertical="center" textRotation="90"/>
    </xf>
    <xf numFmtId="0" fontId="36" fillId="0" borderId="0" xfId="0" applyNumberFormat="1" applyFont="1" applyFill="1" applyBorder="1" applyAlignment="1">
      <alignment horizontal="right" vertical="center" textRotation="90"/>
    </xf>
    <xf numFmtId="0" fontId="36" fillId="0" borderId="24" xfId="0" applyNumberFormat="1" applyFont="1" applyFill="1" applyBorder="1" applyAlignment="1">
      <alignment horizontal="right" vertical="center" textRotation="90"/>
    </xf>
    <xf numFmtId="0" fontId="36" fillId="0" borderId="23" xfId="0" applyNumberFormat="1" applyFont="1" applyFill="1" applyBorder="1" applyAlignment="1">
      <alignment horizontal="center" vertical="center" textRotation="90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35" fillId="7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textRotation="90" wrapText="1"/>
    </xf>
    <xf numFmtId="0" fontId="21" fillId="0" borderId="25" xfId="0" applyFont="1" applyFill="1" applyBorder="1" applyAlignment="1">
      <alignment horizontal="center" vertical="center" textRotation="90" wrapText="1"/>
    </xf>
    <xf numFmtId="0" fontId="21" fillId="0" borderId="18" xfId="0" applyFont="1" applyFill="1" applyBorder="1" applyAlignment="1">
      <alignment horizontal="center" vertical="center" textRotation="90" wrapText="1"/>
    </xf>
    <xf numFmtId="0" fontId="21" fillId="0" borderId="26" xfId="0" applyFont="1" applyFill="1" applyBorder="1" applyAlignment="1">
      <alignment horizontal="center" vertical="center" textRotation="90" wrapText="1"/>
    </xf>
    <xf numFmtId="0" fontId="21" fillId="0" borderId="19" xfId="0" applyFont="1" applyFill="1" applyBorder="1" applyAlignment="1">
      <alignment horizontal="center" vertical="center" textRotation="90" wrapText="1"/>
    </xf>
    <xf numFmtId="0" fontId="21" fillId="0" borderId="27" xfId="0" applyFont="1" applyFill="1" applyBorder="1" applyAlignment="1">
      <alignment horizontal="center" vertical="center" textRotation="90" wrapText="1"/>
    </xf>
    <xf numFmtId="0" fontId="22" fillId="15" borderId="22" xfId="0" applyFont="1" applyFill="1" applyBorder="1" applyAlignment="1">
      <alignment horizontal="left" vertical="center"/>
    </xf>
    <xf numFmtId="0" fontId="7" fillId="15" borderId="22" xfId="0" applyFont="1" applyFill="1" applyBorder="1"/>
    <xf numFmtId="0" fontId="22" fillId="13" borderId="22" xfId="0" applyFont="1" applyFill="1" applyBorder="1" applyAlignment="1">
      <alignment horizontal="left" vertical="center"/>
    </xf>
    <xf numFmtId="0" fontId="7" fillId="13" borderId="22" xfId="0" applyFont="1" applyFill="1" applyBorder="1"/>
    <xf numFmtId="0" fontId="13" fillId="12" borderId="1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textRotation="90" wrapText="1"/>
    </xf>
    <xf numFmtId="0" fontId="21" fillId="0" borderId="30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textRotation="90" wrapText="1"/>
    </xf>
    <xf numFmtId="0" fontId="21" fillId="0" borderId="33" xfId="0" applyFont="1" applyFill="1" applyBorder="1" applyAlignment="1">
      <alignment horizontal="center" vertical="center" textRotation="90" wrapText="1"/>
    </xf>
    <xf numFmtId="0" fontId="21" fillId="0" borderId="32" xfId="0" applyFont="1" applyFill="1" applyBorder="1" applyAlignment="1">
      <alignment horizontal="center" vertical="center" textRotation="90" wrapText="1"/>
    </xf>
    <xf numFmtId="0" fontId="21" fillId="0" borderId="34" xfId="0" applyFont="1" applyFill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 textRotation="90" wrapText="1"/>
    </xf>
    <xf numFmtId="0" fontId="21" fillId="0" borderId="38" xfId="0" applyFont="1" applyFill="1" applyBorder="1" applyAlignment="1">
      <alignment horizontal="center" vertical="center" textRotation="90" wrapText="1"/>
    </xf>
    <xf numFmtId="0" fontId="21" fillId="0" borderId="36" xfId="0" applyFont="1" applyFill="1" applyBorder="1" applyAlignment="1">
      <alignment horizontal="center" vertical="center" textRotation="90" wrapText="1"/>
    </xf>
    <xf numFmtId="0" fontId="21" fillId="0" borderId="39" xfId="0" applyFont="1" applyFill="1" applyBorder="1" applyAlignment="1">
      <alignment horizontal="center" vertical="center" textRotation="90" wrapText="1"/>
    </xf>
    <xf numFmtId="0" fontId="21" fillId="0" borderId="37" xfId="0" applyFont="1" applyFill="1" applyBorder="1" applyAlignment="1">
      <alignment horizontal="center" vertical="center" textRotation="90" wrapText="1"/>
    </xf>
    <xf numFmtId="0" fontId="21" fillId="0" borderId="40" xfId="0" applyFont="1" applyFill="1" applyBorder="1" applyAlignment="1">
      <alignment horizontal="center" vertical="center" textRotation="90" wrapText="1"/>
    </xf>
    <xf numFmtId="0" fontId="54" fillId="12" borderId="16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56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1" fontId="25" fillId="0" borderId="0" xfId="0" applyNumberFormat="1" applyFont="1" applyBorder="1" applyAlignment="1">
      <alignment vertical="center"/>
    </xf>
    <xf numFmtId="1" fontId="8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left"/>
    </xf>
    <xf numFmtId="0" fontId="68" fillId="0" borderId="0" xfId="0" applyFont="1" applyBorder="1" applyAlignment="1">
      <alignment horizontal="left" vertical="top" wrapText="1"/>
    </xf>
    <xf numFmtId="0" fontId="25" fillId="0" borderId="0" xfId="0" applyFont="1" applyFill="1"/>
    <xf numFmtId="21" fontId="33" fillId="5" borderId="2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ální 2" xfId="1"/>
    <cellStyle name="normální_plzen 23" xfId="2"/>
  </cellStyles>
  <dxfs count="12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8866</xdr:colOff>
      <xdr:row>0</xdr:row>
      <xdr:rowOff>0</xdr:rowOff>
    </xdr:from>
    <xdr:to>
      <xdr:col>2</xdr:col>
      <xdr:colOff>106807</xdr:colOff>
      <xdr:row>1</xdr:row>
      <xdr:rowOff>178883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45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597780</xdr:colOff>
      <xdr:row>0</xdr:row>
      <xdr:rowOff>6568</xdr:rowOff>
    </xdr:from>
    <xdr:to>
      <xdr:col>9</xdr:col>
      <xdr:colOff>417132</xdr:colOff>
      <xdr:row>2</xdr:row>
      <xdr:rowOff>65689</xdr:rowOff>
    </xdr:to>
    <xdr:pic>
      <xdr:nvPicPr>
        <xdr:cNvPr id="6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901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59122</xdr:colOff>
      <xdr:row>145</xdr:row>
      <xdr:rowOff>45983</xdr:rowOff>
    </xdr:from>
    <xdr:to>
      <xdr:col>9</xdr:col>
      <xdr:colOff>95420</xdr:colOff>
      <xdr:row>153</xdr:row>
      <xdr:rowOff>99437</xdr:rowOff>
    </xdr:to>
    <xdr:grpSp>
      <xdr:nvGrpSpPr>
        <xdr:cNvPr id="12" name="Group 11"/>
        <xdr:cNvGrpSpPr>
          <a:grpSpLocks noChangeAspect="1"/>
        </xdr:cNvGrpSpPr>
      </xdr:nvGrpSpPr>
      <xdr:grpSpPr>
        <a:xfrm>
          <a:off x="382972" y="27611333"/>
          <a:ext cx="7742023" cy="1348854"/>
          <a:chOff x="938373" y="29147880"/>
          <a:chExt cx="13388372" cy="2474193"/>
        </a:xfrm>
      </xdr:grpSpPr>
      <xdr:grpSp>
        <xdr:nvGrpSpPr>
          <xdr:cNvPr id="13" name="Group 1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5" name="Picture 1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94</xdr:row>
      <xdr:rowOff>49696</xdr:rowOff>
    </xdr:from>
    <xdr:to>
      <xdr:col>16</xdr:col>
      <xdr:colOff>65427</xdr:colOff>
      <xdr:row>103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7519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88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80</xdr:row>
      <xdr:rowOff>49696</xdr:rowOff>
    </xdr:from>
    <xdr:to>
      <xdr:col>17</xdr:col>
      <xdr:colOff>65427</xdr:colOff>
      <xdr:row>89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479946"/>
          <a:ext cx="7535101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132598</xdr:colOff>
      <xdr:row>2</xdr:row>
      <xdr:rowOff>53695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88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291355</xdr:colOff>
      <xdr:row>33</xdr:row>
      <xdr:rowOff>28526</xdr:rowOff>
    </xdr:from>
    <xdr:to>
      <xdr:col>11</xdr:col>
      <xdr:colOff>430573</xdr:colOff>
      <xdr:row>39</xdr:row>
      <xdr:rowOff>117646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154208" y="9441467"/>
          <a:ext cx="5798189" cy="1030414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387724</xdr:colOff>
      <xdr:row>33</xdr:row>
      <xdr:rowOff>35249</xdr:rowOff>
    </xdr:from>
    <xdr:to>
      <xdr:col>30</xdr:col>
      <xdr:colOff>224384</xdr:colOff>
      <xdr:row>39</xdr:row>
      <xdr:rowOff>124369</xdr:rowOff>
    </xdr:to>
    <xdr:grpSp>
      <xdr:nvGrpSpPr>
        <xdr:cNvPr id="7" name="Group 6"/>
        <xdr:cNvGrpSpPr>
          <a:grpSpLocks noChangeAspect="1"/>
        </xdr:cNvGrpSpPr>
      </xdr:nvGrpSpPr>
      <xdr:grpSpPr>
        <a:xfrm>
          <a:off x="7368989" y="9448190"/>
          <a:ext cx="5798189" cy="1030414"/>
          <a:chOff x="938373" y="29147880"/>
          <a:chExt cx="13388372" cy="2474193"/>
        </a:xfrm>
      </xdr:grpSpPr>
      <xdr:grpSp>
        <xdr:nvGrpSpPr>
          <xdr:cNvPr id="8" name="Group 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5527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8" name="Group 7"/>
        <xdr:cNvGrpSpPr>
          <a:grpSpLocks noChangeAspect="1"/>
        </xdr:cNvGrpSpPr>
      </xdr:nvGrpSpPr>
      <xdr:grpSpPr>
        <a:xfrm>
          <a:off x="876332" y="29920815"/>
          <a:ext cx="7735126" cy="1367247"/>
          <a:chOff x="938373" y="29147880"/>
          <a:chExt cx="13388372" cy="2474193"/>
        </a:xfrm>
      </xdr:grpSpPr>
      <xdr:grpSp>
        <xdr:nvGrpSpPr>
          <xdr:cNvPr id="7" name="Group 6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2" name="Picture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173</xdr:row>
      <xdr:rowOff>89647</xdr:rowOff>
    </xdr:from>
    <xdr:to>
      <xdr:col>9</xdr:col>
      <xdr:colOff>249596</xdr:colOff>
      <xdr:row>182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07647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0786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175</xdr:row>
      <xdr:rowOff>21840</xdr:rowOff>
    </xdr:from>
    <xdr:to>
      <xdr:col>10</xdr:col>
      <xdr:colOff>48483</xdr:colOff>
      <xdr:row>183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854140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98</xdr:row>
      <xdr:rowOff>49696</xdr:rowOff>
    </xdr:from>
    <xdr:to>
      <xdr:col>16</xdr:col>
      <xdr:colOff>65427</xdr:colOff>
      <xdr:row>107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5614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4934" y="1656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343" y="0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901765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Z32"/>
  <sheetViews>
    <sheetView workbookViewId="0">
      <selection activeCell="B33" sqref="B33"/>
    </sheetView>
  </sheetViews>
  <sheetFormatPr defaultColWidth="8.85546875" defaultRowHeight="12.75" x14ac:dyDescent="0.2"/>
  <cols>
    <col min="1" max="1" width="13.42578125" style="10" customWidth="1"/>
    <col min="2" max="2" width="85" style="10" customWidth="1"/>
    <col min="3" max="3" width="8" style="10" customWidth="1"/>
    <col min="4" max="4" width="6" style="10" customWidth="1"/>
    <col min="5" max="7" width="8.85546875" style="20"/>
    <col min="8" max="8" width="8.85546875" style="20" bestFit="1" customWidth="1"/>
    <col min="9" max="9" width="10.5703125" style="20" bestFit="1" customWidth="1"/>
    <col min="10" max="10" width="6.140625" style="20" bestFit="1" customWidth="1"/>
    <col min="11" max="11" width="8.85546875" style="20"/>
    <col min="13" max="13" width="2.7109375" customWidth="1"/>
    <col min="14" max="14" width="14.85546875" customWidth="1"/>
    <col min="21" max="21" width="3" customWidth="1"/>
    <col min="22" max="22" width="4.42578125" bestFit="1" customWidth="1"/>
    <col min="23" max="23" width="22.28515625" customWidth="1"/>
    <col min="25" max="25" width="3.85546875" bestFit="1" customWidth="1"/>
    <col min="26" max="26" width="3.42578125" customWidth="1"/>
  </cols>
  <sheetData>
    <row r="1" spans="1:26" s="20" customFormat="1" x14ac:dyDescent="0.2">
      <c r="A1" s="46" t="s">
        <v>36</v>
      </c>
      <c r="B1" s="46" t="s">
        <v>37</v>
      </c>
      <c r="C1" s="46" t="s">
        <v>67</v>
      </c>
      <c r="D1" s="10"/>
    </row>
    <row r="2" spans="1:26" s="20" customFormat="1" x14ac:dyDescent="0.2">
      <c r="A2" s="47" t="s">
        <v>49</v>
      </c>
      <c r="B2" s="10">
        <v>77</v>
      </c>
      <c r="C2" s="61">
        <f>B2</f>
        <v>77</v>
      </c>
      <c r="D2" s="10"/>
      <c r="E2" s="86" t="s">
        <v>153</v>
      </c>
      <c r="F2" s="86" t="s">
        <v>154</v>
      </c>
      <c r="G2" s="86" t="s">
        <v>78</v>
      </c>
      <c r="H2" s="87" t="s">
        <v>79</v>
      </c>
      <c r="I2" s="87" t="s">
        <v>155</v>
      </c>
      <c r="J2" s="87" t="s">
        <v>80</v>
      </c>
      <c r="K2" s="88" t="s">
        <v>81</v>
      </c>
      <c r="M2" s="89" t="s">
        <v>82</v>
      </c>
      <c r="N2" s="89"/>
      <c r="O2" s="89"/>
      <c r="P2" s="89"/>
      <c r="Q2" s="89"/>
      <c r="U2" s="131"/>
      <c r="V2" s="132"/>
      <c r="W2" s="132"/>
      <c r="X2" s="132"/>
      <c r="Y2" s="132"/>
      <c r="Z2" s="133"/>
    </row>
    <row r="3" spans="1:26" s="20" customFormat="1" x14ac:dyDescent="0.2">
      <c r="A3" s="47" t="s">
        <v>50</v>
      </c>
      <c r="B3" s="10">
        <v>7.5</v>
      </c>
      <c r="C3" s="61">
        <f>B3+C2</f>
        <v>84.5</v>
      </c>
      <c r="D3" s="10"/>
      <c r="E3" s="30">
        <v>1.1574074074074073E-4</v>
      </c>
      <c r="F3" s="30">
        <v>6.9444444444444444E-5</v>
      </c>
      <c r="G3" s="30">
        <v>3.4722222222222202E-5</v>
      </c>
      <c r="H3" s="6">
        <v>25</v>
      </c>
      <c r="I3" s="6">
        <v>10</v>
      </c>
      <c r="J3" s="6">
        <v>3</v>
      </c>
      <c r="K3" s="6">
        <v>5</v>
      </c>
      <c r="N3" s="20" t="s">
        <v>156</v>
      </c>
      <c r="U3" s="134"/>
      <c r="V3" s="135" t="s">
        <v>170</v>
      </c>
      <c r="W3" s="135" t="s">
        <v>167</v>
      </c>
      <c r="Y3" s="135"/>
      <c r="Z3" s="136"/>
    </row>
    <row r="4" spans="1:26" s="20" customFormat="1" x14ac:dyDescent="0.2">
      <c r="A4" s="47" t="s">
        <v>51</v>
      </c>
      <c r="B4" s="10">
        <v>68</v>
      </c>
      <c r="C4" s="61">
        <f>B4+C3</f>
        <v>152.5</v>
      </c>
      <c r="D4" s="10"/>
      <c r="E4" s="30">
        <v>6.9444444444444444E-5</v>
      </c>
      <c r="F4" s="30">
        <v>4.6296296296296294E-5</v>
      </c>
      <c r="G4" s="30">
        <v>2.3148148148148147E-5</v>
      </c>
      <c r="H4" s="6">
        <v>20</v>
      </c>
      <c r="I4" s="6">
        <v>9</v>
      </c>
      <c r="J4" s="6">
        <v>2</v>
      </c>
      <c r="K4" s="6">
        <v>3</v>
      </c>
      <c r="N4" s="20" t="s">
        <v>83</v>
      </c>
      <c r="U4" s="134"/>
      <c r="V4" s="135" t="s">
        <v>42</v>
      </c>
      <c r="W4" s="135" t="s">
        <v>192</v>
      </c>
      <c r="Y4" s="135"/>
      <c r="Z4" s="136"/>
    </row>
    <row r="5" spans="1:26" s="20" customFormat="1" x14ac:dyDescent="0.2">
      <c r="A5" s="47" t="s">
        <v>52</v>
      </c>
      <c r="B5" s="10">
        <v>95</v>
      </c>
      <c r="C5" s="61">
        <f>B5+C4</f>
        <v>247.5</v>
      </c>
      <c r="D5" s="10"/>
      <c r="E5" s="30">
        <v>4.6296296296296294E-5</v>
      </c>
      <c r="F5" s="30">
        <v>2.3148148148148147E-5</v>
      </c>
      <c r="G5" s="30">
        <v>1.1574074074074073E-5</v>
      </c>
      <c r="H5" s="6">
        <v>16</v>
      </c>
      <c r="I5" s="6">
        <v>8</v>
      </c>
      <c r="J5" s="6">
        <v>1</v>
      </c>
      <c r="K5" s="6">
        <v>2</v>
      </c>
      <c r="N5" s="20" t="s">
        <v>84</v>
      </c>
      <c r="U5" s="134"/>
      <c r="V5" s="135" t="s">
        <v>211</v>
      </c>
      <c r="W5" s="135" t="s">
        <v>536</v>
      </c>
      <c r="Y5" s="135"/>
      <c r="Z5" s="136"/>
    </row>
    <row r="6" spans="1:26" s="20" customFormat="1" x14ac:dyDescent="0.2">
      <c r="A6" s="47" t="s">
        <v>48</v>
      </c>
      <c r="B6" s="10">
        <f>SUM(B2:B5)</f>
        <v>247.5</v>
      </c>
      <c r="C6" s="61"/>
      <c r="D6" s="10"/>
      <c r="E6" s="7"/>
      <c r="F6" s="7"/>
      <c r="G6" s="7"/>
      <c r="H6" s="6">
        <v>14</v>
      </c>
      <c r="I6" s="6">
        <v>7</v>
      </c>
      <c r="K6" s="6">
        <v>1</v>
      </c>
      <c r="U6" s="134"/>
      <c r="V6" s="135" t="s">
        <v>236</v>
      </c>
      <c r="W6" s="135" t="s">
        <v>235</v>
      </c>
      <c r="Y6" s="135"/>
      <c r="Z6" s="136"/>
    </row>
    <row r="7" spans="1:26" s="20" customFormat="1" x14ac:dyDescent="0.2">
      <c r="A7" s="47" t="s">
        <v>34</v>
      </c>
      <c r="B7" s="21" t="s">
        <v>141</v>
      </c>
      <c r="C7" s="10"/>
      <c r="D7" s="10"/>
      <c r="E7" s="7"/>
      <c r="F7" s="7"/>
      <c r="G7" s="7"/>
      <c r="H7" s="6">
        <v>12</v>
      </c>
      <c r="I7" s="6">
        <v>6</v>
      </c>
      <c r="K7" s="6"/>
      <c r="M7" s="89" t="s">
        <v>157</v>
      </c>
      <c r="N7" s="89"/>
      <c r="O7" s="89"/>
      <c r="P7" s="89"/>
      <c r="Q7" s="89"/>
      <c r="U7" s="134"/>
      <c r="V7" s="135" t="s">
        <v>250</v>
      </c>
      <c r="W7" s="135" t="s">
        <v>537</v>
      </c>
      <c r="Y7" s="135"/>
      <c r="Z7" s="136"/>
    </row>
    <row r="8" spans="1:26" s="20" customFormat="1" x14ac:dyDescent="0.2">
      <c r="A8" s="47" t="s">
        <v>35</v>
      </c>
      <c r="B8" s="21" t="s">
        <v>142</v>
      </c>
      <c r="C8" s="10"/>
      <c r="D8" s="10"/>
      <c r="E8" s="7"/>
      <c r="F8" s="7"/>
      <c r="G8" s="7"/>
      <c r="H8" s="6">
        <v>10</v>
      </c>
      <c r="I8" s="6">
        <v>5</v>
      </c>
      <c r="N8" s="20" t="s">
        <v>86</v>
      </c>
      <c r="U8" s="134"/>
      <c r="V8" s="135" t="s">
        <v>346</v>
      </c>
      <c r="W8" s="135" t="s">
        <v>538</v>
      </c>
      <c r="Y8" s="135"/>
      <c r="Z8" s="136"/>
    </row>
    <row r="9" spans="1:26" s="20" customFormat="1" x14ac:dyDescent="0.2">
      <c r="A9" s="47" t="s">
        <v>38</v>
      </c>
      <c r="B9" s="10">
        <v>2013</v>
      </c>
      <c r="C9" s="10"/>
      <c r="D9" s="10"/>
      <c r="E9" s="7"/>
      <c r="F9" s="7"/>
      <c r="G9" s="7"/>
      <c r="H9" s="6">
        <v>9</v>
      </c>
      <c r="I9" s="6">
        <v>4</v>
      </c>
      <c r="N9" s="20" t="s">
        <v>87</v>
      </c>
      <c r="U9" s="134"/>
      <c r="V9" s="135" t="s">
        <v>274</v>
      </c>
      <c r="W9" s="135" t="s">
        <v>539</v>
      </c>
      <c r="Y9" s="135"/>
      <c r="Z9" s="136"/>
    </row>
    <row r="10" spans="1:26" s="20" customFormat="1" x14ac:dyDescent="0.2">
      <c r="A10" s="47" t="s">
        <v>39</v>
      </c>
      <c r="B10" s="22">
        <v>41859</v>
      </c>
      <c r="C10" s="10"/>
      <c r="D10" s="10"/>
      <c r="E10" s="7"/>
      <c r="F10" s="7"/>
      <c r="G10" s="7"/>
      <c r="H10" s="6">
        <v>8</v>
      </c>
      <c r="I10" s="6">
        <v>3</v>
      </c>
      <c r="N10" s="20" t="s">
        <v>88</v>
      </c>
      <c r="U10" s="134"/>
      <c r="V10" s="135" t="s">
        <v>294</v>
      </c>
      <c r="W10" s="135" t="s">
        <v>293</v>
      </c>
      <c r="Y10" s="135"/>
      <c r="Z10" s="136"/>
    </row>
    <row r="11" spans="1:26" s="20" customFormat="1" x14ac:dyDescent="0.2">
      <c r="A11" s="47" t="s">
        <v>45</v>
      </c>
      <c r="B11" s="22">
        <v>41860</v>
      </c>
      <c r="C11" s="10"/>
      <c r="D11" s="10"/>
      <c r="E11" s="7"/>
      <c r="F11" s="7"/>
      <c r="G11" s="7"/>
      <c r="H11" s="6">
        <v>7</v>
      </c>
      <c r="I11" s="6">
        <v>2</v>
      </c>
      <c r="U11" s="134"/>
      <c r="V11" s="135" t="s">
        <v>310</v>
      </c>
      <c r="W11" s="135" t="s">
        <v>309</v>
      </c>
      <c r="Y11" s="135"/>
      <c r="Z11" s="136"/>
    </row>
    <row r="12" spans="1:26" s="20" customFormat="1" x14ac:dyDescent="0.2">
      <c r="A12" s="47" t="s">
        <v>46</v>
      </c>
      <c r="B12" s="22">
        <v>41860</v>
      </c>
      <c r="C12" s="10"/>
      <c r="D12" s="10"/>
      <c r="E12" s="7"/>
      <c r="F12" s="7"/>
      <c r="G12" s="7"/>
      <c r="H12" s="6">
        <v>6</v>
      </c>
      <c r="I12" s="6">
        <v>1</v>
      </c>
      <c r="M12" s="89" t="s">
        <v>158</v>
      </c>
      <c r="N12" s="89"/>
      <c r="O12" s="89"/>
      <c r="P12" s="89"/>
      <c r="Q12" s="89"/>
      <c r="U12" s="134"/>
      <c r="V12" s="135" t="s">
        <v>360</v>
      </c>
      <c r="W12" s="135" t="s">
        <v>540</v>
      </c>
      <c r="Y12" s="135"/>
      <c r="Z12" s="136"/>
    </row>
    <row r="13" spans="1:26" s="20" customFormat="1" x14ac:dyDescent="0.2">
      <c r="A13" s="47" t="s">
        <v>40</v>
      </c>
      <c r="B13" s="22">
        <v>41861</v>
      </c>
      <c r="C13" s="10"/>
      <c r="D13" s="10"/>
      <c r="E13" s="7"/>
      <c r="F13" s="7"/>
      <c r="G13" s="7"/>
      <c r="H13" s="6">
        <v>5</v>
      </c>
      <c r="I13" s="201"/>
      <c r="N13" s="20" t="s">
        <v>90</v>
      </c>
      <c r="U13" s="134"/>
      <c r="V13" s="135" t="s">
        <v>332</v>
      </c>
      <c r="W13" s="135" t="s">
        <v>541</v>
      </c>
      <c r="Y13" s="135"/>
      <c r="Z13" s="136"/>
    </row>
    <row r="14" spans="1:26" s="20" customFormat="1" x14ac:dyDescent="0.2">
      <c r="A14" s="47" t="s">
        <v>41</v>
      </c>
      <c r="B14" s="23" t="s">
        <v>143</v>
      </c>
      <c r="C14" s="10"/>
      <c r="D14" s="10"/>
      <c r="E14" s="7"/>
      <c r="F14" s="7"/>
      <c r="G14" s="7"/>
      <c r="H14" s="6">
        <v>4</v>
      </c>
      <c r="I14" s="201"/>
      <c r="N14" s="20" t="s">
        <v>88</v>
      </c>
      <c r="U14" s="134"/>
      <c r="V14" s="135" t="s">
        <v>381</v>
      </c>
      <c r="W14" s="135" t="s">
        <v>380</v>
      </c>
      <c r="Y14" s="135"/>
      <c r="Z14" s="136"/>
    </row>
    <row r="15" spans="1:26" s="20" customFormat="1" x14ac:dyDescent="0.2">
      <c r="A15" s="47"/>
      <c r="B15" s="10"/>
      <c r="C15" s="10"/>
      <c r="D15" s="10"/>
      <c r="E15" s="7"/>
      <c r="F15" s="7"/>
      <c r="G15" s="7"/>
      <c r="H15" s="6">
        <v>3</v>
      </c>
      <c r="I15" s="201"/>
      <c r="U15" s="134"/>
      <c r="V15" s="135" t="s">
        <v>99</v>
      </c>
      <c r="W15" s="135" t="s">
        <v>390</v>
      </c>
      <c r="Y15" s="135"/>
      <c r="Z15" s="136"/>
    </row>
    <row r="16" spans="1:26" s="20" customFormat="1" x14ac:dyDescent="0.2">
      <c r="A16" s="47" t="s">
        <v>47</v>
      </c>
      <c r="B16" s="21" t="s">
        <v>144</v>
      </c>
      <c r="C16" s="10"/>
      <c r="D16" s="10"/>
      <c r="E16" s="7"/>
      <c r="F16" s="7"/>
      <c r="G16" s="7"/>
      <c r="H16" s="6">
        <v>2</v>
      </c>
      <c r="I16" s="201"/>
      <c r="M16" s="89" t="s">
        <v>159</v>
      </c>
      <c r="N16" s="89"/>
      <c r="O16" s="89"/>
      <c r="P16" s="89"/>
      <c r="Q16" s="89"/>
      <c r="U16" s="134"/>
      <c r="V16" s="135" t="s">
        <v>405</v>
      </c>
      <c r="W16" s="135" t="s">
        <v>403</v>
      </c>
      <c r="Y16" s="135"/>
      <c r="Z16" s="136"/>
    </row>
    <row r="17" spans="1:26" s="20" customFormat="1" x14ac:dyDescent="0.2">
      <c r="A17" s="47" t="s">
        <v>53</v>
      </c>
      <c r="B17" s="152" t="s">
        <v>145</v>
      </c>
      <c r="C17" s="10"/>
      <c r="D17" s="10"/>
      <c r="E17" s="7"/>
      <c r="F17" s="7"/>
      <c r="G17" s="7"/>
      <c r="H17" s="6">
        <v>1</v>
      </c>
      <c r="I17" s="201"/>
      <c r="U17" s="134"/>
      <c r="V17" s="135" t="s">
        <v>100</v>
      </c>
      <c r="W17" s="135" t="s">
        <v>542</v>
      </c>
      <c r="Y17" s="135"/>
      <c r="Z17" s="136"/>
    </row>
    <row r="18" spans="1:26" s="20" customFormat="1" x14ac:dyDescent="0.2">
      <c r="A18" s="47" t="s">
        <v>54</v>
      </c>
      <c r="B18" s="200" t="s">
        <v>146</v>
      </c>
      <c r="C18" s="10"/>
      <c r="D18" s="10"/>
      <c r="U18" s="134"/>
      <c r="V18" s="135" t="s">
        <v>452</v>
      </c>
      <c r="W18" s="135" t="s">
        <v>543</v>
      </c>
      <c r="Y18" s="135"/>
      <c r="Z18" s="136"/>
    </row>
    <row r="19" spans="1:26" s="20" customFormat="1" x14ac:dyDescent="0.2">
      <c r="A19" s="47" t="s">
        <v>55</v>
      </c>
      <c r="B19" s="200" t="s">
        <v>147</v>
      </c>
      <c r="C19" s="10"/>
      <c r="D19" s="10"/>
      <c r="M19" s="89" t="s">
        <v>160</v>
      </c>
      <c r="N19" s="89"/>
      <c r="O19" s="89"/>
      <c r="P19" s="89"/>
      <c r="Q19" s="89"/>
      <c r="U19" s="134"/>
      <c r="V19" s="135" t="s">
        <v>43</v>
      </c>
      <c r="W19" s="135" t="s">
        <v>464</v>
      </c>
      <c r="Y19" s="135"/>
      <c r="Z19" s="136"/>
    </row>
    <row r="20" spans="1:26" s="20" customFormat="1" x14ac:dyDescent="0.2">
      <c r="A20" s="47" t="s">
        <v>56</v>
      </c>
      <c r="B20" s="152" t="s">
        <v>148</v>
      </c>
      <c r="C20" s="10"/>
      <c r="D20" s="10"/>
      <c r="U20" s="134"/>
      <c r="V20" s="135" t="s">
        <v>478</v>
      </c>
      <c r="W20" s="135" t="s">
        <v>544</v>
      </c>
      <c r="Y20" s="135"/>
      <c r="Z20" s="136"/>
    </row>
    <row r="21" spans="1:26" s="20" customFormat="1" x14ac:dyDescent="0.2">
      <c r="A21" s="47"/>
      <c r="B21" s="10"/>
      <c r="C21" s="10"/>
      <c r="D21" s="10"/>
      <c r="M21" s="89" t="s">
        <v>91</v>
      </c>
      <c r="N21" s="89"/>
      <c r="O21" s="89"/>
      <c r="P21" s="89"/>
      <c r="Q21" s="89"/>
      <c r="U21" s="134"/>
      <c r="V21" s="135"/>
      <c r="W21" s="135"/>
      <c r="Y21" s="135"/>
      <c r="Z21" s="136"/>
    </row>
    <row r="22" spans="1:26" s="20" customFormat="1" x14ac:dyDescent="0.2">
      <c r="A22" s="47" t="s">
        <v>114</v>
      </c>
      <c r="B22" s="152" t="s">
        <v>149</v>
      </c>
      <c r="C22" s="10"/>
      <c r="D22" s="10"/>
      <c r="N22" s="20" t="s">
        <v>92</v>
      </c>
      <c r="U22" s="134"/>
      <c r="V22" s="135"/>
      <c r="W22" s="135"/>
      <c r="Y22" s="135"/>
      <c r="Z22" s="136"/>
    </row>
    <row r="23" spans="1:26" s="20" customFormat="1" x14ac:dyDescent="0.2">
      <c r="A23" s="47" t="s">
        <v>115</v>
      </c>
      <c r="B23" s="200" t="s">
        <v>150</v>
      </c>
      <c r="C23" s="10"/>
      <c r="D23" s="10"/>
      <c r="N23" s="20" t="s">
        <v>93</v>
      </c>
      <c r="U23" s="134"/>
      <c r="V23" s="135"/>
      <c r="W23" s="135"/>
      <c r="Y23" s="135"/>
      <c r="Z23" s="136"/>
    </row>
    <row r="24" spans="1:26" s="20" customFormat="1" x14ac:dyDescent="0.2">
      <c r="A24" s="47" t="s">
        <v>116</v>
      </c>
      <c r="B24" s="200" t="s">
        <v>151</v>
      </c>
      <c r="C24" s="10"/>
      <c r="D24" s="10"/>
      <c r="U24" s="134"/>
      <c r="V24" s="135"/>
      <c r="W24" s="135"/>
      <c r="Y24" s="135"/>
      <c r="Z24" s="136"/>
    </row>
    <row r="25" spans="1:26" s="20" customFormat="1" x14ac:dyDescent="0.2">
      <c r="A25" s="47" t="s">
        <v>117</v>
      </c>
      <c r="B25" s="152" t="s">
        <v>152</v>
      </c>
      <c r="C25" s="10"/>
      <c r="D25" s="10"/>
      <c r="U25" s="137"/>
      <c r="V25" s="138"/>
      <c r="W25" s="138"/>
      <c r="X25" s="138"/>
      <c r="Y25" s="138"/>
      <c r="Z25" s="139"/>
    </row>
    <row r="26" spans="1:26" x14ac:dyDescent="0.2">
      <c r="A26" s="47"/>
    </row>
    <row r="27" spans="1:26" x14ac:dyDescent="0.2">
      <c r="A27" s="47" t="s">
        <v>140</v>
      </c>
      <c r="B27" s="10">
        <v>31</v>
      </c>
    </row>
    <row r="28" spans="1:26" x14ac:dyDescent="0.2">
      <c r="A28" s="48"/>
    </row>
    <row r="29" spans="1:26" x14ac:dyDescent="0.2">
      <c r="A29" s="210" t="s">
        <v>161</v>
      </c>
      <c r="B29" s="211" t="s">
        <v>509</v>
      </c>
    </row>
    <row r="30" spans="1:26" x14ac:dyDescent="0.2">
      <c r="A30" s="210" t="s">
        <v>162</v>
      </c>
      <c r="B30" s="211" t="s">
        <v>559</v>
      </c>
    </row>
    <row r="31" spans="1:26" x14ac:dyDescent="0.2">
      <c r="A31" s="210" t="s">
        <v>163</v>
      </c>
      <c r="B31" s="211" t="s">
        <v>603</v>
      </c>
    </row>
    <row r="32" spans="1:26" x14ac:dyDescent="0.2">
      <c r="A32" s="210" t="s">
        <v>164</v>
      </c>
      <c r="B32" s="211" t="s">
        <v>630</v>
      </c>
    </row>
  </sheetData>
  <sortState ref="V3:Y24">
    <sortCondition ref="V3"/>
  </sortState>
  <pageMargins left="0.7" right="0.7" top="0.78740157499999996" bottom="0.78740157499999996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2" max="12" width="10.7109375" hidden="1" customWidth="1" outlineLevel="1"/>
    <col min="13" max="13" width="8.7109375" hidden="1" customWidth="1" outlineLevel="1"/>
    <col min="14" max="14" width="8.5703125" hidden="1" customWidth="1" outlineLevel="1"/>
    <col min="15" max="15" width="12.7109375" customWidth="1" collapsed="1"/>
  </cols>
  <sheetData>
    <row r="1" spans="1:14" s="20" customFormat="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4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4" s="20" customFormat="1" ht="18.75" x14ac:dyDescent="0.3">
      <c r="C3" s="1"/>
      <c r="D3" s="251" t="str">
        <f>CTRL!B18</f>
        <v>2. etapa / 2nd Stage</v>
      </c>
      <c r="E3" s="251"/>
      <c r="F3" s="251"/>
      <c r="G3" s="251"/>
      <c r="H3" s="251"/>
      <c r="I3" s="49"/>
      <c r="K3" s="2" t="str">
        <f>"Com.no.: 11/" &amp; CTRL!B27</f>
        <v>Com.no.: 11/31</v>
      </c>
    </row>
    <row r="4" spans="1:14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4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4" s="20" customFormat="1" ht="9" customHeight="1" x14ac:dyDescent="0.2">
      <c r="C6" s="1"/>
    </row>
    <row r="7" spans="1:14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 t="s">
        <v>94</v>
      </c>
    </row>
    <row r="8" spans="1:14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</row>
    <row r="9" spans="1:14" s="20" customFormat="1" ht="8.25" customHeight="1" thickBot="1" x14ac:dyDescent="0.25">
      <c r="C9" s="1"/>
    </row>
    <row r="10" spans="1:14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4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ROUND(CTRL!B3/(HOUR($I$12)+(MINUTE($I$12)+SECOND($I$12)/60)/60),2) &amp; " km/h"</f>
        <v>Průměrná rychlost / Average Speed: 46,63 km/h</v>
      </c>
      <c r="L11" t="s">
        <v>560</v>
      </c>
      <c r="M11" t="s">
        <v>561</v>
      </c>
      <c r="N11" s="228" t="s">
        <v>562</v>
      </c>
    </row>
    <row r="12" spans="1:14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236">
        <f t="shared" ref="I12:I43" si="6">L12-M12+N12</f>
        <v>6.7045949074074074E-3</v>
      </c>
      <c r="J12" s="237">
        <f t="shared" ref="J12:J43" si="7">I12-$I$12</f>
        <v>0</v>
      </c>
      <c r="K12" s="31"/>
      <c r="L12" s="231">
        <v>8.795459490740741E-2</v>
      </c>
      <c r="M12" s="230">
        <v>8.1250000000000003E-2</v>
      </c>
      <c r="N12" s="239"/>
    </row>
    <row r="13" spans="1:14" s="69" customFormat="1" ht="13.7" customHeight="1" x14ac:dyDescent="0.2">
      <c r="A13" s="53">
        <v>2</v>
      </c>
      <c r="B13" s="221">
        <v>115</v>
      </c>
      <c r="C13" s="63" t="str">
        <f t="shared" si="0"/>
        <v>GER19961029</v>
      </c>
      <c r="D13" s="64" t="str">
        <f t="shared" si="1"/>
        <v>KOCH Chrisitan</v>
      </c>
      <c r="E13" s="65" t="str">
        <f t="shared" si="2"/>
        <v>TEAM BRANDENBURG - RSC COTTBUS</v>
      </c>
      <c r="F13" s="66" t="str">
        <f t="shared" si="3"/>
        <v>043833-11</v>
      </c>
      <c r="G13" s="67" t="str">
        <f t="shared" si="4"/>
        <v>JUNIOR</v>
      </c>
      <c r="H13" s="67" t="str">
        <f t="shared" si="5"/>
        <v>COT</v>
      </c>
      <c r="I13" s="236">
        <f t="shared" si="6"/>
        <v>6.7851851851851719E-3</v>
      </c>
      <c r="J13" s="237">
        <f t="shared" si="7"/>
        <v>8.0590277777764507E-5</v>
      </c>
      <c r="K13" s="31"/>
      <c r="L13" s="231">
        <v>8.3174074074074067E-2</v>
      </c>
      <c r="M13" s="230">
        <v>7.6388888888888895E-2</v>
      </c>
      <c r="N13" s="239"/>
    </row>
    <row r="14" spans="1:14" s="69" customFormat="1" ht="13.7" customHeight="1" x14ac:dyDescent="0.2">
      <c r="A14" s="53">
        <v>3</v>
      </c>
      <c r="B14" s="99">
        <v>182</v>
      </c>
      <c r="C14" s="63" t="str">
        <f t="shared" si="0"/>
        <v>AUT19960709</v>
      </c>
      <c r="D14" s="64" t="str">
        <f t="shared" si="1"/>
        <v>KOPFAUF Markus</v>
      </c>
      <c r="E14" s="65" t="str">
        <f t="shared" si="2"/>
        <v xml:space="preserve">LRV STEIERMARK </v>
      </c>
      <c r="F14" s="66">
        <f t="shared" si="3"/>
        <v>100827</v>
      </c>
      <c r="G14" s="67" t="str">
        <f t="shared" si="4"/>
        <v>JUNIOR</v>
      </c>
      <c r="H14" s="67" t="str">
        <f t="shared" si="5"/>
        <v>LRV</v>
      </c>
      <c r="I14" s="236">
        <f t="shared" si="6"/>
        <v>6.7928819444444122E-3</v>
      </c>
      <c r="J14" s="237">
        <f t="shared" si="7"/>
        <v>8.8287037037004801E-5</v>
      </c>
      <c r="K14" s="31"/>
      <c r="L14" s="231">
        <v>7.9709548611111111E-2</v>
      </c>
      <c r="M14" s="230">
        <v>7.2916666666666699E-2</v>
      </c>
      <c r="N14" s="239"/>
    </row>
    <row r="15" spans="1:14" s="69" customFormat="1" ht="13.7" customHeight="1" x14ac:dyDescent="0.2">
      <c r="A15" s="53">
        <v>4</v>
      </c>
      <c r="B15" s="99">
        <v>117</v>
      </c>
      <c r="C15" s="63" t="str">
        <f t="shared" si="0"/>
        <v>GER19971022</v>
      </c>
      <c r="D15" s="64" t="str">
        <f t="shared" si="1"/>
        <v>KANTER Max</v>
      </c>
      <c r="E15" s="65" t="str">
        <f t="shared" si="2"/>
        <v>TEAM BRANDENBURG - RSC COTTBUS</v>
      </c>
      <c r="F15" s="66" t="str">
        <f t="shared" si="3"/>
        <v>044005-11</v>
      </c>
      <c r="G15" s="67" t="str">
        <f t="shared" si="4"/>
        <v>JUNIOR*</v>
      </c>
      <c r="H15" s="67" t="str">
        <f t="shared" si="5"/>
        <v>COT</v>
      </c>
      <c r="I15" s="236">
        <f t="shared" si="6"/>
        <v>6.8908217592592858E-3</v>
      </c>
      <c r="J15" s="237">
        <f t="shared" si="7"/>
        <v>1.8622685185187837E-4</v>
      </c>
      <c r="K15" s="31"/>
      <c r="L15" s="231">
        <v>7.9113043981481487E-2</v>
      </c>
      <c r="M15" s="230">
        <v>7.2222222222222202E-2</v>
      </c>
      <c r="N15" s="239"/>
    </row>
    <row r="16" spans="1:14" s="69" customFormat="1" ht="13.7" customHeight="1" x14ac:dyDescent="0.2">
      <c r="A16" s="53">
        <v>5</v>
      </c>
      <c r="B16" s="99">
        <v>45</v>
      </c>
      <c r="C16" s="63" t="str">
        <f t="shared" si="0"/>
        <v>CZE19960630</v>
      </c>
      <c r="D16" s="64" t="str">
        <f t="shared" si="1"/>
        <v xml:space="preserve">LEHKÝ Roman </v>
      </c>
      <c r="E16" s="65" t="str">
        <f t="shared" si="2"/>
        <v>KC KOOPERATIVA SG JABLONEC N.N</v>
      </c>
      <c r="F16" s="66">
        <f t="shared" si="3"/>
        <v>9859</v>
      </c>
      <c r="G16" s="67" t="str">
        <f t="shared" si="4"/>
        <v>JUNIOR</v>
      </c>
      <c r="H16" s="67" t="str">
        <f t="shared" si="5"/>
        <v>KOO</v>
      </c>
      <c r="I16" s="236">
        <f t="shared" si="6"/>
        <v>6.9265624999999692E-3</v>
      </c>
      <c r="J16" s="237">
        <f t="shared" si="7"/>
        <v>2.2196759259256182E-4</v>
      </c>
      <c r="K16" s="31"/>
      <c r="L16" s="231">
        <v>5.4843229166666667E-2</v>
      </c>
      <c r="M16" s="230">
        <v>4.7916666666666698E-2</v>
      </c>
      <c r="N16" s="239"/>
    </row>
    <row r="17" spans="1:14" s="69" customFormat="1" ht="13.7" customHeight="1" x14ac:dyDescent="0.2">
      <c r="A17" s="53">
        <v>6</v>
      </c>
      <c r="B17" s="99">
        <v>62</v>
      </c>
      <c r="C17" s="63" t="str">
        <f t="shared" si="0"/>
        <v>POL19970228</v>
      </c>
      <c r="D17" s="64" t="str">
        <f t="shared" si="1"/>
        <v>SKIBIŃSKI Krzysztof</v>
      </c>
      <c r="E17" s="65" t="str">
        <f t="shared" si="2"/>
        <v xml:space="preserve">DSR AUTHOR GÓRNIK WAŁBRZYCH </v>
      </c>
      <c r="F17" s="66" t="str">
        <f t="shared" si="3"/>
        <v>DLS161</v>
      </c>
      <c r="G17" s="67" t="str">
        <f t="shared" si="4"/>
        <v>JUNIOR*</v>
      </c>
      <c r="H17" s="67" t="str">
        <f t="shared" si="5"/>
        <v>GOR</v>
      </c>
      <c r="I17" s="236">
        <f t="shared" si="6"/>
        <v>6.9274999999999823E-3</v>
      </c>
      <c r="J17" s="237">
        <f t="shared" si="7"/>
        <v>2.229050925925749E-4</v>
      </c>
      <c r="K17" s="31"/>
      <c r="L17" s="229">
        <v>5.8316388888888883E-2</v>
      </c>
      <c r="M17" s="230">
        <v>5.1388888888888901E-2</v>
      </c>
      <c r="N17" s="239"/>
    </row>
    <row r="18" spans="1:14" s="69" customFormat="1" ht="13.7" customHeight="1" x14ac:dyDescent="0.2">
      <c r="A18" s="53">
        <v>7</v>
      </c>
      <c r="B18" s="99">
        <v>146</v>
      </c>
      <c r="C18" s="63" t="str">
        <f t="shared" si="0"/>
        <v>CZE19980130</v>
      </c>
      <c r="D18" s="64" t="str">
        <f t="shared" si="1"/>
        <v xml:space="preserve">OTRUBA Jakub </v>
      </c>
      <c r="E18" s="65" t="str">
        <f t="shared" si="2"/>
        <v xml:space="preserve">MAPEI CYKLO KAŇKOVSKÝ </v>
      </c>
      <c r="F18" s="66">
        <f t="shared" si="3"/>
        <v>19627</v>
      </c>
      <c r="G18" s="67" t="str">
        <f t="shared" si="4"/>
        <v>CADET</v>
      </c>
      <c r="H18" s="67" t="str">
        <f t="shared" si="5"/>
        <v>MAP</v>
      </c>
      <c r="I18" s="236">
        <f t="shared" si="6"/>
        <v>6.9398842592593088E-3</v>
      </c>
      <c r="J18" s="237">
        <f t="shared" si="7"/>
        <v>2.3528935185190142E-4</v>
      </c>
      <c r="K18" s="31"/>
      <c r="L18" s="231">
        <v>5.1384328703703706E-2</v>
      </c>
      <c r="M18" s="230">
        <v>4.4444444444444398E-2</v>
      </c>
      <c r="N18" s="239"/>
    </row>
    <row r="19" spans="1:14" s="69" customFormat="1" ht="13.7" customHeight="1" x14ac:dyDescent="0.2">
      <c r="A19" s="53">
        <v>8</v>
      </c>
      <c r="B19" s="99">
        <v>175</v>
      </c>
      <c r="C19" s="63" t="str">
        <f t="shared" si="0"/>
        <v>SVK19960415</v>
      </c>
      <c r="D19" s="64" t="str">
        <f t="shared" si="1"/>
        <v>ZVERKO David</v>
      </c>
      <c r="E19" s="65" t="str">
        <f t="shared" si="2"/>
        <v xml:space="preserve">SLOVAK CYCLING FEDERATION </v>
      </c>
      <c r="F19" s="66">
        <f t="shared" si="3"/>
        <v>5674</v>
      </c>
      <c r="G19" s="67" t="str">
        <f t="shared" si="4"/>
        <v>JUNIOR</v>
      </c>
      <c r="H19" s="67" t="str">
        <f t="shared" si="5"/>
        <v>SVK</v>
      </c>
      <c r="I19" s="236">
        <f t="shared" si="6"/>
        <v>6.9626736111111504E-3</v>
      </c>
      <c r="J19" s="237">
        <f t="shared" si="7"/>
        <v>2.5807870370374297E-4</v>
      </c>
      <c r="K19" s="31"/>
      <c r="L19" s="231">
        <v>8.5434895833333344E-2</v>
      </c>
      <c r="M19" s="230">
        <v>7.8472222222222193E-2</v>
      </c>
      <c r="N19" s="239"/>
    </row>
    <row r="20" spans="1:14" s="69" customFormat="1" ht="13.7" customHeight="1" x14ac:dyDescent="0.2">
      <c r="A20" s="53">
        <v>9</v>
      </c>
      <c r="B20" s="99">
        <v>7</v>
      </c>
      <c r="C20" s="63" t="str">
        <f t="shared" si="0"/>
        <v>GER19970419</v>
      </c>
      <c r="D20" s="64" t="str">
        <f t="shared" si="1"/>
        <v>BURCHARDT Karl</v>
      </c>
      <c r="E20" s="65" t="str">
        <f t="shared" si="2"/>
        <v>RSC TURBINE ERFURT</v>
      </c>
      <c r="F20" s="66" t="str">
        <f t="shared" si="3"/>
        <v>THÜ173418</v>
      </c>
      <c r="G20" s="67" t="str">
        <f t="shared" si="4"/>
        <v>JUNIOR*</v>
      </c>
      <c r="H20" s="67" t="str">
        <f t="shared" si="5"/>
        <v>TUR</v>
      </c>
      <c r="I20" s="236">
        <f t="shared" si="6"/>
        <v>6.9744560185185517E-3</v>
      </c>
      <c r="J20" s="237">
        <f t="shared" si="7"/>
        <v>2.698611111111443E-4</v>
      </c>
      <c r="K20" s="31"/>
      <c r="L20" s="229">
        <v>7.6418900462962958E-2</v>
      </c>
      <c r="M20" s="230">
        <v>6.9444444444444406E-2</v>
      </c>
      <c r="N20" s="239"/>
    </row>
    <row r="21" spans="1:14" s="69" customFormat="1" ht="13.7" customHeight="1" x14ac:dyDescent="0.2">
      <c r="A21" s="53">
        <v>10</v>
      </c>
      <c r="B21" s="99">
        <v>166</v>
      </c>
      <c r="C21" s="63" t="str">
        <f t="shared" si="0"/>
        <v>RUS19960101</v>
      </c>
      <c r="D21" s="64" t="str">
        <f t="shared" si="1"/>
        <v xml:space="preserve">BEZDENEZHNYKH Vadim </v>
      </c>
      <c r="E21" s="65" t="str">
        <f t="shared" si="2"/>
        <v>RUSSIAN CYCLING FEDERATION</v>
      </c>
      <c r="F21" s="66" t="str">
        <f t="shared" si="3"/>
        <v>B0271</v>
      </c>
      <c r="G21" s="67" t="str">
        <f t="shared" si="4"/>
        <v>JUNIOR</v>
      </c>
      <c r="H21" s="67" t="str">
        <f t="shared" si="5"/>
        <v>RUS</v>
      </c>
      <c r="I21" s="236">
        <f t="shared" si="6"/>
        <v>6.9783449074073689E-3</v>
      </c>
      <c r="J21" s="237">
        <f t="shared" si="7"/>
        <v>2.7374999999996152E-4</v>
      </c>
      <c r="K21" s="31"/>
      <c r="L21" s="231">
        <v>6.8783900462962969E-2</v>
      </c>
      <c r="M21" s="230">
        <v>6.18055555555556E-2</v>
      </c>
      <c r="N21" s="239"/>
    </row>
    <row r="22" spans="1:14" s="69" customFormat="1" ht="13.7" customHeight="1" x14ac:dyDescent="0.2">
      <c r="A22" s="53">
        <v>11</v>
      </c>
      <c r="B22" s="99">
        <v>164</v>
      </c>
      <c r="C22" s="63" t="str">
        <f t="shared" si="0"/>
        <v>RUS19970224</v>
      </c>
      <c r="D22" s="64" t="str">
        <f t="shared" si="1"/>
        <v>RIKUNOV Petr</v>
      </c>
      <c r="E22" s="65" t="str">
        <f t="shared" si="2"/>
        <v>RUSSIAN CYCLING FEDERATION</v>
      </c>
      <c r="F22" s="66" t="str">
        <f t="shared" si="3"/>
        <v>B0273</v>
      </c>
      <c r="G22" s="67" t="str">
        <f t="shared" si="4"/>
        <v>JUNIOR*</v>
      </c>
      <c r="H22" s="67" t="str">
        <f t="shared" si="5"/>
        <v>RUS</v>
      </c>
      <c r="I22" s="236">
        <f t="shared" si="6"/>
        <v>6.9954745370370344E-3</v>
      </c>
      <c r="J22" s="237">
        <f t="shared" si="7"/>
        <v>2.9087962962962705E-4</v>
      </c>
      <c r="K22" s="31"/>
      <c r="L22" s="229">
        <v>4.4495474537037033E-2</v>
      </c>
      <c r="M22" s="230">
        <v>3.7499999999999999E-2</v>
      </c>
      <c r="N22" s="239"/>
    </row>
    <row r="23" spans="1:14" s="69" customFormat="1" ht="13.7" customHeight="1" x14ac:dyDescent="0.2">
      <c r="A23" s="53">
        <v>12</v>
      </c>
      <c r="B23" s="99">
        <v>21</v>
      </c>
      <c r="C23" s="63" t="str">
        <f t="shared" si="0"/>
        <v>GER19960322</v>
      </c>
      <c r="D23" s="64" t="str">
        <f t="shared" si="1"/>
        <v>DICKEL Jorge</v>
      </c>
      <c r="E23" s="65" t="str">
        <f t="shared" si="2"/>
        <v>RG BERLIN</v>
      </c>
      <c r="F23" s="66" t="str">
        <f t="shared" si="3"/>
        <v>03.15928.12</v>
      </c>
      <c r="G23" s="67" t="str">
        <f t="shared" si="4"/>
        <v>JUNIOR</v>
      </c>
      <c r="H23" s="67" t="str">
        <f t="shared" si="5"/>
        <v>RGB</v>
      </c>
      <c r="I23" s="236">
        <f t="shared" si="6"/>
        <v>6.9996064814815025E-3</v>
      </c>
      <c r="J23" s="237">
        <f t="shared" si="7"/>
        <v>2.9501157407409509E-4</v>
      </c>
      <c r="K23" s="31"/>
      <c r="L23" s="231">
        <v>3.5471828703703703E-2</v>
      </c>
      <c r="M23" s="230">
        <v>2.8472222222222201E-2</v>
      </c>
      <c r="N23" s="239"/>
    </row>
    <row r="24" spans="1:14" s="69" customFormat="1" ht="13.7" customHeight="1" x14ac:dyDescent="0.2">
      <c r="A24" s="53">
        <v>13</v>
      </c>
      <c r="B24" s="99">
        <v>4</v>
      </c>
      <c r="C24" s="63" t="str">
        <f t="shared" si="0"/>
        <v>GER19960212</v>
      </c>
      <c r="D24" s="64" t="str">
        <f t="shared" si="1"/>
        <v>SCHUBERT Erik</v>
      </c>
      <c r="E24" s="65" t="str">
        <f t="shared" si="2"/>
        <v>RV ELXLEBEN</v>
      </c>
      <c r="F24" s="66" t="str">
        <f t="shared" si="3"/>
        <v>THÜ170276</v>
      </c>
      <c r="G24" s="67" t="str">
        <f t="shared" si="4"/>
        <v>JUNIOR</v>
      </c>
      <c r="H24" s="67" t="str">
        <f t="shared" si="5"/>
        <v>TUR</v>
      </c>
      <c r="I24" s="236">
        <f t="shared" si="6"/>
        <v>7.0179050925925496E-3</v>
      </c>
      <c r="J24" s="237">
        <f t="shared" si="7"/>
        <v>3.133101851851422E-4</v>
      </c>
      <c r="K24" s="31"/>
      <c r="L24" s="231">
        <v>4.3823460648148148E-2</v>
      </c>
      <c r="M24" s="230">
        <v>3.6805555555555598E-2</v>
      </c>
      <c r="N24" s="239"/>
    </row>
    <row r="25" spans="1:14" s="69" customFormat="1" ht="13.7" customHeight="1" x14ac:dyDescent="0.2">
      <c r="A25" s="53">
        <v>14</v>
      </c>
      <c r="B25" s="99">
        <v>2</v>
      </c>
      <c r="C25" s="63" t="str">
        <f t="shared" si="0"/>
        <v>GER19960829</v>
      </c>
      <c r="D25" s="64" t="str">
        <f t="shared" si="1"/>
        <v>SCHUCHMANN Franz-Leon</v>
      </c>
      <c r="E25" s="65" t="str">
        <f t="shared" si="2"/>
        <v>RSV SONNEBERG</v>
      </c>
      <c r="F25" s="66" t="str">
        <f t="shared" si="3"/>
        <v>THÜ173330</v>
      </c>
      <c r="G25" s="67" t="str">
        <f t="shared" si="4"/>
        <v>JUNIOR</v>
      </c>
      <c r="H25" s="67" t="str">
        <f t="shared" si="5"/>
        <v>TUR</v>
      </c>
      <c r="I25" s="236">
        <f t="shared" si="6"/>
        <v>7.0277893518518181E-3</v>
      </c>
      <c r="J25" s="237">
        <f t="shared" si="7"/>
        <v>3.231944444444107E-4</v>
      </c>
      <c r="K25" s="31"/>
      <c r="L25" s="231">
        <v>8.7583344907407421E-2</v>
      </c>
      <c r="M25" s="230">
        <v>8.0555555555555602E-2</v>
      </c>
      <c r="N25" s="239"/>
    </row>
    <row r="26" spans="1:14" s="69" customFormat="1" ht="13.7" customHeight="1" x14ac:dyDescent="0.2">
      <c r="A26" s="53">
        <v>15</v>
      </c>
      <c r="B26" s="99">
        <v>57</v>
      </c>
      <c r="C26" s="63" t="str">
        <f t="shared" si="0"/>
        <v>POL19970825</v>
      </c>
      <c r="D26" s="64" t="str">
        <f t="shared" si="1"/>
        <v>GRZEGORZYCA Dominik</v>
      </c>
      <c r="E26" s="65" t="str">
        <f t="shared" si="2"/>
        <v>GRUPA KOLARSKA GLIWICE BA</v>
      </c>
      <c r="F26" s="66" t="str">
        <f t="shared" si="3"/>
        <v>SLA008</v>
      </c>
      <c r="G26" s="67" t="str">
        <f t="shared" si="4"/>
        <v>JUNIOR*</v>
      </c>
      <c r="H26" s="67" t="str">
        <f t="shared" si="5"/>
        <v>GLI</v>
      </c>
      <c r="I26" s="236">
        <f t="shared" si="6"/>
        <v>7.060185185185204E-3</v>
      </c>
      <c r="J26" s="237">
        <f t="shared" si="7"/>
        <v>3.5559027777779667E-4</v>
      </c>
      <c r="K26" s="31"/>
      <c r="L26" s="231">
        <v>6.0532407407407403E-2</v>
      </c>
      <c r="M26" s="230">
        <v>5.3472222222222199E-2</v>
      </c>
      <c r="N26" s="239"/>
    </row>
    <row r="27" spans="1:14" s="69" customFormat="1" ht="13.7" customHeight="1" x14ac:dyDescent="0.2">
      <c r="A27" s="53">
        <v>16</v>
      </c>
      <c r="B27" s="99">
        <v>52</v>
      </c>
      <c r="C27" s="63" t="str">
        <f t="shared" si="0"/>
        <v>POL19961008</v>
      </c>
      <c r="D27" s="64" t="str">
        <f t="shared" si="1"/>
        <v>ZLOTOWICZ Patryk</v>
      </c>
      <c r="E27" s="65" t="str">
        <f t="shared" si="2"/>
        <v>KLUCZBORK</v>
      </c>
      <c r="F27" s="66" t="str">
        <f t="shared" si="3"/>
        <v>OPO-016</v>
      </c>
      <c r="G27" s="67" t="str">
        <f t="shared" si="4"/>
        <v>JUNIOR</v>
      </c>
      <c r="H27" s="67" t="str">
        <f t="shared" si="5"/>
        <v>GLI</v>
      </c>
      <c r="I27" s="236">
        <f t="shared" si="6"/>
        <v>7.07064814814818E-3</v>
      </c>
      <c r="J27" s="237">
        <f t="shared" si="7"/>
        <v>3.6605324074077267E-4</v>
      </c>
      <c r="K27" s="31"/>
      <c r="L27" s="231">
        <v>4.0403981481481478E-2</v>
      </c>
      <c r="M27" s="230">
        <v>3.3333333333333298E-2</v>
      </c>
      <c r="N27" s="239"/>
    </row>
    <row r="28" spans="1:14" s="69" customFormat="1" ht="13.7" customHeight="1" x14ac:dyDescent="0.2">
      <c r="A28" s="53">
        <v>17</v>
      </c>
      <c r="B28" s="99">
        <v>3</v>
      </c>
      <c r="C28" s="63" t="str">
        <f t="shared" si="0"/>
        <v>GER19970102</v>
      </c>
      <c r="D28" s="64" t="str">
        <f t="shared" si="1"/>
        <v>ZEISE Paul</v>
      </c>
      <c r="E28" s="65" t="str">
        <f t="shared" si="2"/>
        <v>RSC TURBINE ERFURT</v>
      </c>
      <c r="F28" s="66" t="str">
        <f t="shared" si="3"/>
        <v>THÜ173430</v>
      </c>
      <c r="G28" s="67" t="str">
        <f t="shared" si="4"/>
        <v>JUNIOR*</v>
      </c>
      <c r="H28" s="67" t="str">
        <f t="shared" si="5"/>
        <v>TUR</v>
      </c>
      <c r="I28" s="236">
        <f t="shared" si="6"/>
        <v>7.0781944444444633E-3</v>
      </c>
      <c r="J28" s="237">
        <f t="shared" si="7"/>
        <v>3.7359953703705595E-4</v>
      </c>
      <c r="K28" s="31"/>
      <c r="L28" s="231">
        <v>6.8189305555555565E-2</v>
      </c>
      <c r="M28" s="230">
        <v>6.1111111111111102E-2</v>
      </c>
      <c r="N28" s="239"/>
    </row>
    <row r="29" spans="1:14" s="69" customFormat="1" ht="13.7" customHeight="1" x14ac:dyDescent="0.2">
      <c r="A29" s="53">
        <v>18</v>
      </c>
      <c r="B29" s="99">
        <v>143</v>
      </c>
      <c r="C29" s="63" t="str">
        <f t="shared" si="0"/>
        <v>CZE19960606</v>
      </c>
      <c r="D29" s="64" t="str">
        <f t="shared" si="1"/>
        <v xml:space="preserve">KOVÁŘ Jan </v>
      </c>
      <c r="E29" s="65" t="str">
        <f t="shared" si="2"/>
        <v xml:space="preserve">MAPEI CYKLO KAŇKOVSKÝ </v>
      </c>
      <c r="F29" s="66">
        <f t="shared" si="3"/>
        <v>12418</v>
      </c>
      <c r="G29" s="67" t="str">
        <f t="shared" si="4"/>
        <v>JUNIOR</v>
      </c>
      <c r="H29" s="67" t="str">
        <f t="shared" si="5"/>
        <v>MAP</v>
      </c>
      <c r="I29" s="236">
        <f t="shared" si="6"/>
        <v>7.0840856481481501E-3</v>
      </c>
      <c r="J29" s="237">
        <f t="shared" si="7"/>
        <v>3.7949074074074274E-4</v>
      </c>
      <c r="K29" s="31"/>
      <c r="L29" s="229">
        <v>8.6945196759259255E-2</v>
      </c>
      <c r="M29" s="230">
        <v>7.9861111111111105E-2</v>
      </c>
      <c r="N29" s="239"/>
    </row>
    <row r="30" spans="1:14" s="69" customFormat="1" ht="13.7" customHeight="1" x14ac:dyDescent="0.2">
      <c r="A30" s="53">
        <v>19</v>
      </c>
      <c r="B30" s="99">
        <v>124</v>
      </c>
      <c r="C30" s="63" t="str">
        <f t="shared" si="0"/>
        <v>CZE19970613</v>
      </c>
      <c r="D30" s="64" t="str">
        <f t="shared" si="1"/>
        <v xml:space="preserve">ŠÁNA Jiří </v>
      </c>
      <c r="E30" s="65" t="str">
        <f t="shared" si="2"/>
        <v xml:space="preserve">SKC TUFO PROSTĚJOV </v>
      </c>
      <c r="F30" s="66">
        <f t="shared" si="3"/>
        <v>8743</v>
      </c>
      <c r="G30" s="67" t="str">
        <f t="shared" si="4"/>
        <v>JUNIOR*</v>
      </c>
      <c r="H30" s="67" t="str">
        <f t="shared" si="5"/>
        <v>SKC</v>
      </c>
      <c r="I30" s="236">
        <f t="shared" si="6"/>
        <v>7.1062152777777582E-3</v>
      </c>
      <c r="J30" s="237">
        <f t="shared" si="7"/>
        <v>4.0162037037035081E-4</v>
      </c>
      <c r="K30" s="31"/>
      <c r="L30" s="231">
        <v>7.2383993055555554E-2</v>
      </c>
      <c r="M30" s="230">
        <v>6.5277777777777796E-2</v>
      </c>
      <c r="N30" s="239"/>
    </row>
    <row r="31" spans="1:14" s="69" customFormat="1" ht="13.7" customHeight="1" x14ac:dyDescent="0.2">
      <c r="A31" s="53">
        <v>20</v>
      </c>
      <c r="B31" s="99">
        <v>163</v>
      </c>
      <c r="C31" s="63" t="str">
        <f t="shared" si="0"/>
        <v>RUS19970527</v>
      </c>
      <c r="D31" s="64" t="str">
        <f t="shared" si="1"/>
        <v>PLAKUSHKIN Sergey</v>
      </c>
      <c r="E31" s="65" t="str">
        <f t="shared" si="2"/>
        <v>RUSSIAN CYCLING FEDERATION</v>
      </c>
      <c r="F31" s="66" t="str">
        <f t="shared" si="3"/>
        <v>B0277</v>
      </c>
      <c r="G31" s="67" t="str">
        <f t="shared" si="4"/>
        <v>JUNIOR*</v>
      </c>
      <c r="H31" s="67" t="str">
        <f t="shared" si="5"/>
        <v>RUS</v>
      </c>
      <c r="I31" s="236">
        <f t="shared" si="6"/>
        <v>7.1138425925925744E-3</v>
      </c>
      <c r="J31" s="237">
        <f t="shared" si="7"/>
        <v>4.0924768518516702E-4</v>
      </c>
      <c r="K31" s="31"/>
      <c r="L31" s="231">
        <v>6.4752731481481474E-2</v>
      </c>
      <c r="M31" s="230">
        <v>5.7638888888888899E-2</v>
      </c>
      <c r="N31" s="239"/>
    </row>
    <row r="32" spans="1:14" s="69" customFormat="1" ht="13.7" customHeight="1" x14ac:dyDescent="0.2">
      <c r="A32" s="53">
        <v>21</v>
      </c>
      <c r="B32" s="99">
        <v>185</v>
      </c>
      <c r="C32" s="63" t="str">
        <f t="shared" si="0"/>
        <v>AUT19960302</v>
      </c>
      <c r="D32" s="64" t="str">
        <f t="shared" si="1"/>
        <v>TAFERNER Stefan</v>
      </c>
      <c r="E32" s="65" t="str">
        <f t="shared" si="2"/>
        <v xml:space="preserve">LRV STEIERMARK </v>
      </c>
      <c r="F32" s="66">
        <f t="shared" si="3"/>
        <v>100831</v>
      </c>
      <c r="G32" s="67" t="str">
        <f t="shared" si="4"/>
        <v>JUNIOR</v>
      </c>
      <c r="H32" s="67" t="str">
        <f t="shared" si="5"/>
        <v>LRV</v>
      </c>
      <c r="I32" s="236">
        <f t="shared" si="6"/>
        <v>7.1148148148148516E-3</v>
      </c>
      <c r="J32" s="237">
        <f t="shared" si="7"/>
        <v>4.1021990740744418E-4</v>
      </c>
      <c r="K32" s="31"/>
      <c r="L32" s="231">
        <v>7.0309259259259252E-2</v>
      </c>
      <c r="M32" s="230">
        <v>6.31944444444444E-2</v>
      </c>
      <c r="N32" s="239"/>
    </row>
    <row r="33" spans="1:14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236">
        <f t="shared" si="6"/>
        <v>7.1516319444444171E-3</v>
      </c>
      <c r="J33" s="237">
        <f t="shared" si="7"/>
        <v>4.470370370370097E-4</v>
      </c>
      <c r="K33" s="31"/>
      <c r="L33" s="231">
        <v>7.3818298611111111E-2</v>
      </c>
      <c r="M33" s="230">
        <v>6.6666666666666693E-2</v>
      </c>
      <c r="N33" s="239"/>
    </row>
    <row r="34" spans="1:14" s="69" customFormat="1" ht="13.7" customHeight="1" x14ac:dyDescent="0.2">
      <c r="A34" s="53">
        <v>23</v>
      </c>
      <c r="B34" s="99">
        <v>105</v>
      </c>
      <c r="C34" s="63" t="str">
        <f t="shared" si="0"/>
        <v>CZE19960511</v>
      </c>
      <c r="D34" s="64" t="str">
        <f t="shared" si="1"/>
        <v xml:space="preserve">RAJCHART Jan </v>
      </c>
      <c r="E34" s="65" t="str">
        <f t="shared" si="2"/>
        <v xml:space="preserve">NUTREND SPECIALIZED RACING </v>
      </c>
      <c r="F34" s="66">
        <f t="shared" si="3"/>
        <v>7437</v>
      </c>
      <c r="G34" s="67" t="str">
        <f t="shared" si="4"/>
        <v>JUNIOR</v>
      </c>
      <c r="H34" s="67" t="str">
        <f t="shared" si="5"/>
        <v>LOU</v>
      </c>
      <c r="I34" s="236">
        <f t="shared" si="6"/>
        <v>7.1607986111111022E-3</v>
      </c>
      <c r="J34" s="237">
        <f t="shared" si="7"/>
        <v>4.5620370370369479E-4</v>
      </c>
      <c r="K34" s="31"/>
      <c r="L34" s="229">
        <v>3.97996875E-2</v>
      </c>
      <c r="M34" s="230">
        <v>3.2638888888888898E-2</v>
      </c>
      <c r="N34" s="239"/>
    </row>
    <row r="35" spans="1:14" s="69" customFormat="1" ht="13.7" customHeight="1" x14ac:dyDescent="0.2">
      <c r="A35" s="53">
        <v>24</v>
      </c>
      <c r="B35" s="99">
        <v>176</v>
      </c>
      <c r="C35" s="63" t="str">
        <f t="shared" si="0"/>
        <v>SVK19960130</v>
      </c>
      <c r="D35" s="64" t="str">
        <f t="shared" si="1"/>
        <v>BELLAN Juraj</v>
      </c>
      <c r="E35" s="65" t="str">
        <f t="shared" si="2"/>
        <v xml:space="preserve">SLOVAK CYCLING FEDERATION </v>
      </c>
      <c r="F35" s="66">
        <f t="shared" si="3"/>
        <v>5681</v>
      </c>
      <c r="G35" s="67" t="str">
        <f t="shared" si="4"/>
        <v>JUNIOR</v>
      </c>
      <c r="H35" s="67" t="str">
        <f t="shared" si="5"/>
        <v>SVK</v>
      </c>
      <c r="I35" s="236">
        <f t="shared" si="6"/>
        <v>7.1667361111111341E-3</v>
      </c>
      <c r="J35" s="237">
        <f t="shared" si="7"/>
        <v>4.6214120370372674E-4</v>
      </c>
      <c r="K35" s="31"/>
      <c r="L35" s="231">
        <v>4.1888958333333337E-2</v>
      </c>
      <c r="M35" s="230">
        <v>3.4722222222222203E-2</v>
      </c>
      <c r="N35" s="239"/>
    </row>
    <row r="36" spans="1:14" s="69" customFormat="1" ht="13.7" customHeight="1" x14ac:dyDescent="0.2">
      <c r="A36" s="53">
        <v>25</v>
      </c>
      <c r="B36" s="99">
        <v>133</v>
      </c>
      <c r="C36" s="63" t="str">
        <f t="shared" si="0"/>
        <v>CZE19960924</v>
      </c>
      <c r="D36" s="64" t="str">
        <f t="shared" si="1"/>
        <v>CAMRDA Pavel</v>
      </c>
      <c r="E36" s="65" t="str">
        <f t="shared" si="2"/>
        <v>RC ARBÖ WELS GOURMETFEIN</v>
      </c>
      <c r="F36" s="66">
        <f t="shared" si="3"/>
        <v>8509</v>
      </c>
      <c r="G36" s="67" t="str">
        <f t="shared" si="4"/>
        <v>JUNIOR</v>
      </c>
      <c r="H36" s="67" t="str">
        <f t="shared" si="5"/>
        <v>RCA</v>
      </c>
      <c r="I36" s="236">
        <f t="shared" si="6"/>
        <v>7.1790509259259047E-3</v>
      </c>
      <c r="J36" s="237">
        <f t="shared" si="7"/>
        <v>4.7445601851849734E-4</v>
      </c>
      <c r="K36" s="31"/>
      <c r="L36" s="231">
        <v>4.1206828703703707E-2</v>
      </c>
      <c r="M36" s="230">
        <v>3.4027777777777803E-2</v>
      </c>
      <c r="N36" s="239"/>
    </row>
    <row r="37" spans="1:14" s="69" customFormat="1" ht="13.7" customHeight="1" x14ac:dyDescent="0.2">
      <c r="A37" s="53">
        <v>26</v>
      </c>
      <c r="B37" s="99">
        <v>94</v>
      </c>
      <c r="C37" s="63" t="str">
        <f t="shared" si="0"/>
        <v>CZE19970127</v>
      </c>
      <c r="D37" s="64" t="str">
        <f t="shared" si="1"/>
        <v xml:space="preserve">KOTOUČEK Matěj </v>
      </c>
      <c r="E37" s="65" t="str">
        <f t="shared" si="2"/>
        <v xml:space="preserve">TJ FAVORIT BRNO </v>
      </c>
      <c r="F37" s="66">
        <f t="shared" si="3"/>
        <v>9917</v>
      </c>
      <c r="G37" s="67" t="str">
        <f t="shared" si="4"/>
        <v>JUNIOR*</v>
      </c>
      <c r="H37" s="67" t="str">
        <f t="shared" si="5"/>
        <v>FAV</v>
      </c>
      <c r="I37" s="236">
        <f t="shared" si="6"/>
        <v>7.1814004629629363E-3</v>
      </c>
      <c r="J37" s="237">
        <f t="shared" si="7"/>
        <v>4.7680555555552895E-4</v>
      </c>
      <c r="K37" s="31"/>
      <c r="L37" s="231">
        <v>5.3709178240740736E-2</v>
      </c>
      <c r="M37" s="230">
        <v>4.65277777777778E-2</v>
      </c>
      <c r="N37" s="239"/>
    </row>
    <row r="38" spans="1:14" s="69" customFormat="1" ht="13.7" customHeight="1" x14ac:dyDescent="0.2">
      <c r="A38" s="53">
        <v>27</v>
      </c>
      <c r="B38" s="99">
        <v>114</v>
      </c>
      <c r="C38" s="63" t="str">
        <f t="shared" si="0"/>
        <v>GER19960823</v>
      </c>
      <c r="D38" s="64" t="str">
        <f t="shared" si="1"/>
        <v>SCHLOTT Julius</v>
      </c>
      <c r="E38" s="65" t="str">
        <f t="shared" si="2"/>
        <v>TEAM BRANDENBURG - RSC COTTBUS</v>
      </c>
      <c r="F38" s="66" t="str">
        <f t="shared" si="3"/>
        <v>044086-11</v>
      </c>
      <c r="G38" s="67" t="str">
        <f t="shared" si="4"/>
        <v>JUNIOR</v>
      </c>
      <c r="H38" s="67" t="str">
        <f t="shared" si="5"/>
        <v>COT</v>
      </c>
      <c r="I38" s="236">
        <f t="shared" si="6"/>
        <v>7.1874652777777492E-3</v>
      </c>
      <c r="J38" s="237">
        <f t="shared" si="7"/>
        <v>4.8287037037034186E-4</v>
      </c>
      <c r="K38" s="31"/>
      <c r="L38" s="231">
        <v>4.260413194444445E-2</v>
      </c>
      <c r="M38" s="230">
        <v>3.54166666666667E-2</v>
      </c>
      <c r="N38" s="239"/>
    </row>
    <row r="39" spans="1:14" s="69" customFormat="1" ht="13.7" customHeight="1" x14ac:dyDescent="0.2">
      <c r="A39" s="53">
        <v>28</v>
      </c>
      <c r="B39" s="99">
        <v>162</v>
      </c>
      <c r="C39" s="63" t="str">
        <f t="shared" si="0"/>
        <v>RUS19971119</v>
      </c>
      <c r="D39" s="64" t="str">
        <f t="shared" si="1"/>
        <v>NECHAEV Vladislav</v>
      </c>
      <c r="E39" s="65" t="str">
        <f t="shared" si="2"/>
        <v>RUSSIAN CYCLING FEDERATION</v>
      </c>
      <c r="F39" s="66" t="str">
        <f t="shared" si="3"/>
        <v>B0275</v>
      </c>
      <c r="G39" s="67" t="str">
        <f t="shared" si="4"/>
        <v>JUNIOR*</v>
      </c>
      <c r="H39" s="67" t="str">
        <f t="shared" si="5"/>
        <v>RUS</v>
      </c>
      <c r="I39" s="236">
        <f t="shared" si="6"/>
        <v>7.1977083333333788E-3</v>
      </c>
      <c r="J39" s="237">
        <f t="shared" si="7"/>
        <v>4.9311342592597146E-4</v>
      </c>
      <c r="K39" s="31"/>
      <c r="L39" s="231">
        <v>5.7892152777777782E-2</v>
      </c>
      <c r="M39" s="230">
        <v>5.0694444444444403E-2</v>
      </c>
      <c r="N39" s="239"/>
    </row>
    <row r="40" spans="1:14" s="69" customFormat="1" ht="13.7" customHeight="1" x14ac:dyDescent="0.2">
      <c r="A40" s="53">
        <v>29</v>
      </c>
      <c r="B40" s="99">
        <v>137</v>
      </c>
      <c r="C40" s="63" t="str">
        <f t="shared" si="0"/>
        <v>AUT19960713</v>
      </c>
      <c r="D40" s="64" t="str">
        <f t="shared" si="1"/>
        <v>PÖPPL Tobias</v>
      </c>
      <c r="E40" s="65" t="str">
        <f t="shared" si="2"/>
        <v>RC WALDING</v>
      </c>
      <c r="F40" s="66">
        <f t="shared" si="3"/>
        <v>100289</v>
      </c>
      <c r="G40" s="67" t="str">
        <f t="shared" si="4"/>
        <v>JUNIOR</v>
      </c>
      <c r="H40" s="67" t="str">
        <f t="shared" si="5"/>
        <v>RCA</v>
      </c>
      <c r="I40" s="236">
        <f t="shared" si="6"/>
        <v>7.2280208333333207E-3</v>
      </c>
      <c r="J40" s="237">
        <f t="shared" si="7"/>
        <v>5.234259259259133E-4</v>
      </c>
      <c r="K40" s="31"/>
      <c r="L40" s="231">
        <v>7.7366909722222224E-2</v>
      </c>
      <c r="M40" s="230">
        <v>7.0138888888888903E-2</v>
      </c>
      <c r="N40" s="239"/>
    </row>
    <row r="41" spans="1:14" s="69" customFormat="1" ht="13.7" customHeight="1" x14ac:dyDescent="0.2">
      <c r="A41" s="53">
        <v>30</v>
      </c>
      <c r="B41" s="99">
        <v>97</v>
      </c>
      <c r="C41" s="63" t="str">
        <f t="shared" si="0"/>
        <v>SVK19961022</v>
      </c>
      <c r="D41" s="64" t="str">
        <f t="shared" si="1"/>
        <v xml:space="preserve">STRMISKA Andrej </v>
      </c>
      <c r="E41" s="65" t="str">
        <f t="shared" si="2"/>
        <v xml:space="preserve">TJ FAVORIT BRNO </v>
      </c>
      <c r="F41" s="66">
        <f t="shared" si="3"/>
        <v>6009</v>
      </c>
      <c r="G41" s="67" t="str">
        <f t="shared" si="4"/>
        <v>JUNIOR</v>
      </c>
      <c r="H41" s="67" t="str">
        <f t="shared" si="5"/>
        <v>FAV</v>
      </c>
      <c r="I41" s="236">
        <f t="shared" si="6"/>
        <v>7.2345254629629166E-3</v>
      </c>
      <c r="J41" s="237">
        <f t="shared" si="7"/>
        <v>5.2993055555550922E-4</v>
      </c>
      <c r="K41" s="31"/>
      <c r="L41" s="231">
        <v>5.0290081018518513E-2</v>
      </c>
      <c r="M41" s="230">
        <v>4.3055555555555597E-2</v>
      </c>
      <c r="N41" s="239"/>
    </row>
    <row r="42" spans="1:14" s="69" customFormat="1" ht="13.7" customHeight="1" x14ac:dyDescent="0.2">
      <c r="A42" s="53">
        <v>31</v>
      </c>
      <c r="B42" s="99">
        <v>161</v>
      </c>
      <c r="C42" s="63" t="str">
        <f t="shared" si="0"/>
        <v>RUS19970210</v>
      </c>
      <c r="D42" s="64" t="str">
        <f t="shared" si="1"/>
        <v>GRISHIN Maksim</v>
      </c>
      <c r="E42" s="65" t="str">
        <f t="shared" si="2"/>
        <v>RUSSIAN CYCLING FEDERATION</v>
      </c>
      <c r="F42" s="66" t="str">
        <f t="shared" si="3"/>
        <v>B0280</v>
      </c>
      <c r="G42" s="67" t="str">
        <f t="shared" si="4"/>
        <v>JUNIOR*</v>
      </c>
      <c r="H42" s="67" t="str">
        <f t="shared" si="5"/>
        <v>RUS</v>
      </c>
      <c r="I42" s="236">
        <f t="shared" si="6"/>
        <v>7.2411921296296478E-3</v>
      </c>
      <c r="J42" s="237">
        <f t="shared" si="7"/>
        <v>5.3659722222224038E-4</v>
      </c>
      <c r="K42" s="31"/>
      <c r="L42" s="231">
        <v>7.4602303240740742E-2</v>
      </c>
      <c r="M42" s="230">
        <v>6.7361111111111094E-2</v>
      </c>
      <c r="N42" s="239"/>
    </row>
    <row r="43" spans="1:14" s="69" customFormat="1" ht="13.7" customHeight="1" x14ac:dyDescent="0.2">
      <c r="A43" s="53">
        <v>32</v>
      </c>
      <c r="B43" s="99">
        <v>56</v>
      </c>
      <c r="C43" s="63" t="str">
        <f t="shared" si="0"/>
        <v>POL19970322</v>
      </c>
      <c r="D43" s="64" t="str">
        <f t="shared" si="1"/>
        <v>FOLTYN Maciej</v>
      </c>
      <c r="E43" s="65" t="str">
        <f t="shared" si="2"/>
        <v>GRUPA KOLARSKA GLIWICE BA</v>
      </c>
      <c r="F43" s="66" t="str">
        <f t="shared" si="3"/>
        <v>SLA219</v>
      </c>
      <c r="G43" s="67" t="str">
        <f t="shared" si="4"/>
        <v>JUNIOR*</v>
      </c>
      <c r="H43" s="67" t="str">
        <f t="shared" si="5"/>
        <v>GLI</v>
      </c>
      <c r="I43" s="236">
        <f t="shared" si="6"/>
        <v>7.2454166666667055E-3</v>
      </c>
      <c r="J43" s="237">
        <f t="shared" si="7"/>
        <v>5.4082175925929815E-4</v>
      </c>
      <c r="K43" s="31"/>
      <c r="L43" s="231">
        <v>3.9189861111111106E-2</v>
      </c>
      <c r="M43" s="230">
        <v>3.19444444444444E-2</v>
      </c>
      <c r="N43" s="239"/>
    </row>
    <row r="44" spans="1:14" s="69" customFormat="1" ht="13.7" customHeight="1" x14ac:dyDescent="0.2">
      <c r="A44" s="53">
        <v>33</v>
      </c>
      <c r="B44" s="99">
        <v>55</v>
      </c>
      <c r="C44" s="63" t="str">
        <f t="shared" ref="C44:C75" si="8">VLOOKUP(B44,STARTOVKA,2,0)</f>
        <v>POL19981009</v>
      </c>
      <c r="D44" s="64" t="str">
        <f t="shared" ref="D44:D75" si="9">VLOOKUP(B44,STARTOVKA,3,0)</f>
        <v>FABIAN Marcel</v>
      </c>
      <c r="E44" s="65" t="str">
        <f t="shared" ref="E44:E75" si="10">VLOOKUP(B44,STARTOVKA,4,0)</f>
        <v>GRUPA KOLARSKA GLIWICE BA</v>
      </c>
      <c r="F44" s="66" t="str">
        <f t="shared" ref="F44:F75" si="11">VLOOKUP(B44,STARTOVKA,5,0)</f>
        <v>SLA012</v>
      </c>
      <c r="G44" s="67" t="str">
        <f t="shared" ref="G44:G75" si="12">VLOOKUP(B44,STARTOVKA,6,0)</f>
        <v>CADET</v>
      </c>
      <c r="H44" s="67" t="str">
        <f t="shared" ref="H44:H75" si="13">VLOOKUP(B44,STARTOVKA,7,0)</f>
        <v>GLI</v>
      </c>
      <c r="I44" s="236">
        <f t="shared" ref="I44:I75" si="14">L44-M44+N44</f>
        <v>7.2709259259259237E-3</v>
      </c>
      <c r="J44" s="237">
        <f t="shared" ref="J44:J75" si="15">I44-$I$12</f>
        <v>5.6633101851851636E-4</v>
      </c>
      <c r="K44" s="31"/>
      <c r="L44" s="231">
        <v>5.1020925925925921E-2</v>
      </c>
      <c r="M44" s="230">
        <v>4.3749999999999997E-2</v>
      </c>
      <c r="N44" s="239"/>
    </row>
    <row r="45" spans="1:14" s="69" customFormat="1" ht="13.7" customHeight="1" x14ac:dyDescent="0.2">
      <c r="A45" s="53">
        <v>34</v>
      </c>
      <c r="B45" s="99">
        <v>134</v>
      </c>
      <c r="C45" s="63" t="str">
        <f t="shared" si="8"/>
        <v>AUT19960910</v>
      </c>
      <c r="D45" s="64" t="str">
        <f t="shared" si="9"/>
        <v>HUBER Marcel</v>
      </c>
      <c r="E45" s="65" t="str">
        <f t="shared" si="10"/>
        <v>RC ARBÖ WELS GOURMETFEIN</v>
      </c>
      <c r="F45" s="66">
        <f t="shared" si="11"/>
        <v>100090</v>
      </c>
      <c r="G45" s="67" t="str">
        <f t="shared" si="12"/>
        <v>JUNIOR</v>
      </c>
      <c r="H45" s="67" t="str">
        <f t="shared" si="13"/>
        <v>RCA</v>
      </c>
      <c r="I45" s="236">
        <f t="shared" si="14"/>
        <v>7.2757291666666127E-3</v>
      </c>
      <c r="J45" s="237">
        <f t="shared" si="15"/>
        <v>5.711342592592053E-4</v>
      </c>
      <c r="K45" s="31"/>
      <c r="L45" s="231">
        <v>5.6581284722222215E-2</v>
      </c>
      <c r="M45" s="230">
        <v>4.9305555555555602E-2</v>
      </c>
      <c r="N45" s="239"/>
    </row>
    <row r="46" spans="1:14" s="69" customFormat="1" ht="13.7" customHeight="1" x14ac:dyDescent="0.2">
      <c r="A46" s="53">
        <v>35</v>
      </c>
      <c r="B46" s="99">
        <v>181</v>
      </c>
      <c r="C46" s="63" t="str">
        <f t="shared" si="8"/>
        <v>AUT19960516</v>
      </c>
      <c r="D46" s="64" t="str">
        <f t="shared" si="9"/>
        <v>DYCZEK Felix</v>
      </c>
      <c r="E46" s="65" t="str">
        <f t="shared" si="10"/>
        <v xml:space="preserve">LRV STEIERMARK </v>
      </c>
      <c r="F46" s="66">
        <f t="shared" si="11"/>
        <v>100824</v>
      </c>
      <c r="G46" s="67" t="str">
        <f t="shared" si="12"/>
        <v>JUNIOR</v>
      </c>
      <c r="H46" s="67" t="str">
        <f t="shared" si="13"/>
        <v>LRV</v>
      </c>
      <c r="I46" s="236">
        <f t="shared" si="14"/>
        <v>7.2864699074074446E-3</v>
      </c>
      <c r="J46" s="237">
        <f t="shared" si="15"/>
        <v>5.8187500000003722E-4</v>
      </c>
      <c r="K46" s="31"/>
      <c r="L46" s="231">
        <v>4.6869803240740741E-2</v>
      </c>
      <c r="M46" s="230">
        <v>3.9583333333333297E-2</v>
      </c>
      <c r="N46" s="239"/>
    </row>
    <row r="47" spans="1:14" s="69" customFormat="1" ht="13.7" customHeight="1" x14ac:dyDescent="0.2">
      <c r="A47" s="53">
        <v>36</v>
      </c>
      <c r="B47" s="99">
        <v>96</v>
      </c>
      <c r="C47" s="63" t="str">
        <f t="shared" si="8"/>
        <v>CZE19960516</v>
      </c>
      <c r="D47" s="64" t="str">
        <f t="shared" si="9"/>
        <v xml:space="preserve">SCHMIDT Vít </v>
      </c>
      <c r="E47" s="65" t="str">
        <f t="shared" si="10"/>
        <v xml:space="preserve">TJ FAVORIT BRNO </v>
      </c>
      <c r="F47" s="66">
        <f t="shared" si="11"/>
        <v>8369</v>
      </c>
      <c r="G47" s="67" t="str">
        <f t="shared" si="12"/>
        <v>JUNIOR</v>
      </c>
      <c r="H47" s="67" t="str">
        <f t="shared" si="13"/>
        <v>FAV</v>
      </c>
      <c r="I47" s="236">
        <f t="shared" si="14"/>
        <v>7.3350231481481634E-3</v>
      </c>
      <c r="J47" s="237">
        <f t="shared" si="15"/>
        <v>6.3042824074075604E-4</v>
      </c>
      <c r="K47" s="31"/>
      <c r="L47" s="231">
        <v>6.219613425925926E-2</v>
      </c>
      <c r="M47" s="230">
        <v>5.4861111111111097E-2</v>
      </c>
      <c r="N47" s="239"/>
    </row>
    <row r="48" spans="1:14" s="69" customFormat="1" ht="13.7" customHeight="1" x14ac:dyDescent="0.2">
      <c r="A48" s="53">
        <v>37</v>
      </c>
      <c r="B48" s="221">
        <v>150</v>
      </c>
      <c r="C48" s="63" t="str">
        <f t="shared" si="8"/>
        <v>CZE19970926</v>
      </c>
      <c r="D48" s="64" t="str">
        <f t="shared" si="9"/>
        <v xml:space="preserve">BRÁZDA Michal </v>
      </c>
      <c r="E48" s="65" t="str">
        <f t="shared" si="10"/>
        <v xml:space="preserve">MAPEI CYKLO KAŇKOVSKÝ </v>
      </c>
      <c r="F48" s="66">
        <f t="shared" si="11"/>
        <v>8547</v>
      </c>
      <c r="G48" s="67" t="str">
        <f t="shared" si="12"/>
        <v>JUNIOR*</v>
      </c>
      <c r="H48" s="67" t="str">
        <f t="shared" si="13"/>
        <v>MAP</v>
      </c>
      <c r="I48" s="236">
        <f t="shared" si="14"/>
        <v>7.3390625000000348E-3</v>
      </c>
      <c r="J48" s="237">
        <f t="shared" si="15"/>
        <v>6.3446759259262742E-4</v>
      </c>
      <c r="K48" s="31"/>
      <c r="L48" s="231">
        <v>8.442239583333333E-2</v>
      </c>
      <c r="M48" s="230">
        <v>7.7083333333333295E-2</v>
      </c>
      <c r="N48" s="239"/>
    </row>
    <row r="49" spans="1:14" s="69" customFormat="1" ht="13.7" customHeight="1" x14ac:dyDescent="0.2">
      <c r="A49" s="53">
        <v>38</v>
      </c>
      <c r="B49" s="99">
        <v>183</v>
      </c>
      <c r="C49" s="63" t="str">
        <f t="shared" si="8"/>
        <v>AUT19961121</v>
      </c>
      <c r="D49" s="64" t="str">
        <f t="shared" si="9"/>
        <v>KROGER Klemens</v>
      </c>
      <c r="E49" s="65" t="str">
        <f t="shared" si="10"/>
        <v xml:space="preserve">LRV STEIERMARK </v>
      </c>
      <c r="F49" s="66">
        <f t="shared" si="11"/>
        <v>100828</v>
      </c>
      <c r="G49" s="67" t="str">
        <f t="shared" si="12"/>
        <v>JUNIOR</v>
      </c>
      <c r="H49" s="67" t="str">
        <f t="shared" si="13"/>
        <v>LRV</v>
      </c>
      <c r="I49" s="236">
        <f t="shared" si="14"/>
        <v>7.3391550925925517E-3</v>
      </c>
      <c r="J49" s="237">
        <f t="shared" si="15"/>
        <v>6.3456018518514429E-4</v>
      </c>
      <c r="K49" s="31"/>
      <c r="L49" s="229">
        <v>2.5394710648148151E-2</v>
      </c>
      <c r="M49" s="230">
        <v>1.8055555555555599E-2</v>
      </c>
      <c r="N49" s="239"/>
    </row>
    <row r="50" spans="1:14" s="69" customFormat="1" ht="13.7" customHeight="1" x14ac:dyDescent="0.2">
      <c r="A50" s="53">
        <v>39</v>
      </c>
      <c r="B50" s="99">
        <v>187</v>
      </c>
      <c r="C50" s="63" t="str">
        <f t="shared" si="8"/>
        <v>AUT19970913</v>
      </c>
      <c r="D50" s="64" t="str">
        <f t="shared" si="9"/>
        <v>DALLINGER Christian</v>
      </c>
      <c r="E50" s="65" t="str">
        <f t="shared" si="10"/>
        <v xml:space="preserve">LRV STEIERMARK </v>
      </c>
      <c r="F50" s="66">
        <f t="shared" si="11"/>
        <v>100350</v>
      </c>
      <c r="G50" s="67" t="str">
        <f t="shared" si="12"/>
        <v>JUNIOR*</v>
      </c>
      <c r="H50" s="67" t="str">
        <f t="shared" si="13"/>
        <v>LRV</v>
      </c>
      <c r="I50" s="236">
        <f t="shared" si="14"/>
        <v>7.3537731481481058E-3</v>
      </c>
      <c r="J50" s="237">
        <f t="shared" si="15"/>
        <v>6.4917824074069846E-4</v>
      </c>
      <c r="K50" s="31"/>
      <c r="L50" s="231">
        <v>3.7909328703703705E-2</v>
      </c>
      <c r="M50" s="230">
        <v>3.05555555555556E-2</v>
      </c>
      <c r="N50" s="239"/>
    </row>
    <row r="51" spans="1:14" s="69" customFormat="1" ht="13.7" customHeight="1" x14ac:dyDescent="0.2">
      <c r="A51" s="53">
        <v>40</v>
      </c>
      <c r="B51" s="99">
        <v>123</v>
      </c>
      <c r="C51" s="63" t="str">
        <f t="shared" si="8"/>
        <v>CZE19971015</v>
      </c>
      <c r="D51" s="64" t="str">
        <f t="shared" si="9"/>
        <v xml:space="preserve">STRUPEK Matyáš </v>
      </c>
      <c r="E51" s="65" t="str">
        <f t="shared" si="10"/>
        <v xml:space="preserve">SKC TUFO PROSTĚJOV </v>
      </c>
      <c r="F51" s="66">
        <f t="shared" si="11"/>
        <v>11747</v>
      </c>
      <c r="G51" s="67" t="str">
        <f t="shared" si="12"/>
        <v>JUNIOR*</v>
      </c>
      <c r="H51" s="67" t="str">
        <f t="shared" si="13"/>
        <v>SKC</v>
      </c>
      <c r="I51" s="236">
        <f t="shared" si="14"/>
        <v>7.3729861111110767E-3</v>
      </c>
      <c r="J51" s="237">
        <f t="shared" si="15"/>
        <v>6.6839120370366933E-4</v>
      </c>
      <c r="K51" s="31"/>
      <c r="L51" s="229">
        <v>6.153965277777778E-2</v>
      </c>
      <c r="M51" s="230">
        <v>5.4166666666666703E-2</v>
      </c>
      <c r="N51" s="239"/>
    </row>
    <row r="52" spans="1:14" s="69" customFormat="1" ht="13.7" customHeight="1" x14ac:dyDescent="0.2">
      <c r="A52" s="53">
        <v>41</v>
      </c>
      <c r="B52" s="99">
        <v>171</v>
      </c>
      <c r="C52" s="63" t="str">
        <f t="shared" si="8"/>
        <v>SVK19970301</v>
      </c>
      <c r="D52" s="64" t="str">
        <f t="shared" si="9"/>
        <v>KNIHA Ladislav</v>
      </c>
      <c r="E52" s="65" t="str">
        <f t="shared" si="10"/>
        <v xml:space="preserve">SLOVAK CYCLING FEDERATION </v>
      </c>
      <c r="F52" s="66">
        <f t="shared" si="11"/>
        <v>6788</v>
      </c>
      <c r="G52" s="67" t="str">
        <f t="shared" si="12"/>
        <v>JUNIOR*</v>
      </c>
      <c r="H52" s="67" t="str">
        <f t="shared" si="13"/>
        <v>SVK</v>
      </c>
      <c r="I52" s="236">
        <f t="shared" si="14"/>
        <v>7.3830787037037354E-3</v>
      </c>
      <c r="J52" s="237">
        <f t="shared" si="15"/>
        <v>6.7848379629632805E-4</v>
      </c>
      <c r="K52" s="31"/>
      <c r="L52" s="231">
        <v>7.1966412037037034E-2</v>
      </c>
      <c r="M52" s="230">
        <v>6.4583333333333298E-2</v>
      </c>
      <c r="N52" s="239"/>
    </row>
    <row r="53" spans="1:14" s="69" customFormat="1" ht="13.7" customHeight="1" x14ac:dyDescent="0.2">
      <c r="A53" s="53">
        <v>42</v>
      </c>
      <c r="B53" s="99">
        <v>95</v>
      </c>
      <c r="C53" s="63" t="str">
        <f t="shared" si="8"/>
        <v>CZE19970813</v>
      </c>
      <c r="D53" s="64" t="str">
        <f t="shared" si="9"/>
        <v xml:space="preserve">LAFUNTÁL Robert </v>
      </c>
      <c r="E53" s="65" t="str">
        <f t="shared" si="10"/>
        <v xml:space="preserve">TJ FAVORIT BRNO </v>
      </c>
      <c r="F53" s="66">
        <f t="shared" si="11"/>
        <v>13204</v>
      </c>
      <c r="G53" s="67" t="str">
        <f t="shared" si="12"/>
        <v>JUNIOR*</v>
      </c>
      <c r="H53" s="67" t="str">
        <f t="shared" si="13"/>
        <v>FAV</v>
      </c>
      <c r="I53" s="236">
        <f t="shared" si="14"/>
        <v>7.388680555555591E-3</v>
      </c>
      <c r="J53" s="237">
        <f t="shared" si="15"/>
        <v>6.8408564814818364E-4</v>
      </c>
      <c r="K53" s="31"/>
      <c r="L53" s="231">
        <v>2.1972013888888892E-2</v>
      </c>
      <c r="M53" s="230">
        <v>1.4583333333333301E-2</v>
      </c>
      <c r="N53" s="239"/>
    </row>
    <row r="54" spans="1:14" s="69" customFormat="1" ht="13.7" customHeight="1" x14ac:dyDescent="0.2">
      <c r="A54" s="53">
        <v>43</v>
      </c>
      <c r="B54" s="99">
        <v>93</v>
      </c>
      <c r="C54" s="63" t="str">
        <f t="shared" si="8"/>
        <v>CZE19960424</v>
      </c>
      <c r="D54" s="64" t="str">
        <f t="shared" si="9"/>
        <v xml:space="preserve">GRUBER Pavel </v>
      </c>
      <c r="E54" s="65" t="str">
        <f t="shared" si="10"/>
        <v xml:space="preserve">TJ FAVORIT BRNO </v>
      </c>
      <c r="F54" s="66">
        <f t="shared" si="11"/>
        <v>13075</v>
      </c>
      <c r="G54" s="67" t="str">
        <f t="shared" si="12"/>
        <v>JUNIOR</v>
      </c>
      <c r="H54" s="67" t="str">
        <f t="shared" si="13"/>
        <v>FAV</v>
      </c>
      <c r="I54" s="236">
        <f t="shared" si="14"/>
        <v>7.390613425925896E-3</v>
      </c>
      <c r="J54" s="237">
        <f t="shared" si="15"/>
        <v>6.8601851851848861E-4</v>
      </c>
      <c r="K54" s="31"/>
      <c r="L54" s="231">
        <v>8.6557280092592601E-2</v>
      </c>
      <c r="M54" s="230">
        <v>7.9166666666666705E-2</v>
      </c>
      <c r="N54" s="239"/>
    </row>
    <row r="55" spans="1:14" s="69" customFormat="1" ht="13.7" customHeight="1" x14ac:dyDescent="0.2">
      <c r="A55" s="53">
        <v>44</v>
      </c>
      <c r="B55" s="99">
        <v>44</v>
      </c>
      <c r="C55" s="63" t="str">
        <f t="shared" si="8"/>
        <v>CZE19960213</v>
      </c>
      <c r="D55" s="64" t="str">
        <f t="shared" si="9"/>
        <v xml:space="preserve">JUREČKA Jiří </v>
      </c>
      <c r="E55" s="65" t="str">
        <f t="shared" si="10"/>
        <v>KC KOOPERATIVA SG JABLONEC N.N</v>
      </c>
      <c r="F55" s="66">
        <f t="shared" si="11"/>
        <v>5366</v>
      </c>
      <c r="G55" s="67" t="str">
        <f t="shared" si="12"/>
        <v>JUNIOR</v>
      </c>
      <c r="H55" s="67" t="str">
        <f t="shared" si="13"/>
        <v>KOO</v>
      </c>
      <c r="I55" s="236">
        <f t="shared" si="14"/>
        <v>7.4115393518518341E-3</v>
      </c>
      <c r="J55" s="237">
        <f t="shared" si="15"/>
        <v>7.0694444444442672E-4</v>
      </c>
      <c r="K55" s="31"/>
      <c r="L55" s="231">
        <v>2.8939317129629633E-2</v>
      </c>
      <c r="M55" s="230">
        <v>2.1527777777777798E-2</v>
      </c>
      <c r="N55" s="239"/>
    </row>
    <row r="56" spans="1:14" s="69" customFormat="1" ht="13.7" customHeight="1" x14ac:dyDescent="0.2">
      <c r="A56" s="53">
        <v>45</v>
      </c>
      <c r="B56" s="221">
        <v>151</v>
      </c>
      <c r="C56" s="63" t="str">
        <f t="shared" si="8"/>
        <v>CZE19960501</v>
      </c>
      <c r="D56" s="64" t="str">
        <f t="shared" si="9"/>
        <v>TOMAN Vojtěch</v>
      </c>
      <c r="E56" s="65" t="str">
        <f t="shared" si="10"/>
        <v>STEVENS ZNOJMO</v>
      </c>
      <c r="F56" s="66">
        <f t="shared" si="11"/>
        <v>9096</v>
      </c>
      <c r="G56" s="67" t="str">
        <f t="shared" si="12"/>
        <v>JUNIOR</v>
      </c>
      <c r="H56" s="67" t="str">
        <f t="shared" si="13"/>
        <v>SKC</v>
      </c>
      <c r="I56" s="236">
        <f t="shared" si="14"/>
        <v>7.4224305555554981E-3</v>
      </c>
      <c r="J56" s="237">
        <f t="shared" si="15"/>
        <v>7.1783564814809075E-4</v>
      </c>
      <c r="K56" s="31"/>
      <c r="L56" s="231">
        <v>8.3116874999999993E-2</v>
      </c>
      <c r="M56" s="230">
        <v>7.5694444444444495E-2</v>
      </c>
      <c r="N56" s="239"/>
    </row>
    <row r="57" spans="1:14" s="69" customFormat="1" ht="13.7" customHeight="1" x14ac:dyDescent="0.2">
      <c r="A57" s="53">
        <v>46</v>
      </c>
      <c r="B57" s="99">
        <v>34</v>
      </c>
      <c r="C57" s="63" t="str">
        <f t="shared" si="8"/>
        <v>CZE19960513</v>
      </c>
      <c r="D57" s="64" t="str">
        <f t="shared" si="9"/>
        <v xml:space="preserve">SCHUBERT Štěpán </v>
      </c>
      <c r="E57" s="65" t="str">
        <f t="shared" si="10"/>
        <v xml:space="preserve">REMERX MERIDA TEAM JUNIOR </v>
      </c>
      <c r="F57" s="66">
        <f t="shared" si="11"/>
        <v>19574</v>
      </c>
      <c r="G57" s="67" t="str">
        <f t="shared" si="12"/>
        <v>JUNIOR</v>
      </c>
      <c r="H57" s="67" t="str">
        <f t="shared" si="13"/>
        <v>REM</v>
      </c>
      <c r="I57" s="236">
        <f t="shared" si="14"/>
        <v>7.4250115740740336E-3</v>
      </c>
      <c r="J57" s="237">
        <f t="shared" si="15"/>
        <v>7.2041666666662618E-4</v>
      </c>
      <c r="K57" s="31"/>
      <c r="L57" s="231">
        <v>6.7841678240740735E-2</v>
      </c>
      <c r="M57" s="230">
        <v>6.0416666666666702E-2</v>
      </c>
      <c r="N57" s="239"/>
    </row>
    <row r="58" spans="1:14" s="69" customFormat="1" ht="13.7" customHeight="1" x14ac:dyDescent="0.2">
      <c r="A58" s="53">
        <v>47</v>
      </c>
      <c r="B58" s="99">
        <v>24</v>
      </c>
      <c r="C58" s="63" t="str">
        <f t="shared" si="8"/>
        <v>GER19980223</v>
      </c>
      <c r="D58" s="64" t="str">
        <f t="shared" si="9"/>
        <v>PLAMBECK Philipp</v>
      </c>
      <c r="E58" s="65" t="str">
        <f t="shared" si="10"/>
        <v>RG BERLIN</v>
      </c>
      <c r="F58" s="66" t="str">
        <f t="shared" si="11"/>
        <v>HAM062726</v>
      </c>
      <c r="G58" s="67" t="str">
        <f t="shared" si="12"/>
        <v>CADET</v>
      </c>
      <c r="H58" s="67" t="str">
        <f t="shared" si="13"/>
        <v>RGB</v>
      </c>
      <c r="I58" s="236">
        <f t="shared" si="14"/>
        <v>7.4296296296296679E-3</v>
      </c>
      <c r="J58" s="237">
        <f t="shared" si="15"/>
        <v>7.2503472222226056E-4</v>
      </c>
      <c r="K58" s="31"/>
      <c r="L58" s="231">
        <v>6.437407407407407E-2</v>
      </c>
      <c r="M58" s="230">
        <v>5.6944444444444402E-2</v>
      </c>
      <c r="N58" s="239"/>
    </row>
    <row r="59" spans="1:14" s="69" customFormat="1" ht="13.7" customHeight="1" x14ac:dyDescent="0.2">
      <c r="A59" s="53">
        <v>48</v>
      </c>
      <c r="B59" s="99">
        <v>144</v>
      </c>
      <c r="C59" s="63" t="str">
        <f t="shared" si="8"/>
        <v>CZE19961220</v>
      </c>
      <c r="D59" s="64" t="str">
        <f t="shared" si="9"/>
        <v xml:space="preserve">LOVEČEK Adam </v>
      </c>
      <c r="E59" s="65" t="str">
        <f t="shared" si="10"/>
        <v xml:space="preserve">MAPEI CYKLO KAŇKOVSKÝ </v>
      </c>
      <c r="F59" s="66">
        <f t="shared" si="11"/>
        <v>19339</v>
      </c>
      <c r="G59" s="67" t="str">
        <f t="shared" si="12"/>
        <v>JUNIOR</v>
      </c>
      <c r="H59" s="67" t="str">
        <f t="shared" si="13"/>
        <v>MAP</v>
      </c>
      <c r="I59" s="236">
        <f t="shared" si="14"/>
        <v>7.4297106481481384E-3</v>
      </c>
      <c r="J59" s="237">
        <f t="shared" si="15"/>
        <v>7.2511574074073104E-4</v>
      </c>
      <c r="K59" s="31"/>
      <c r="L59" s="229">
        <v>3.3818599537037038E-2</v>
      </c>
      <c r="M59" s="230">
        <v>2.6388888888888899E-2</v>
      </c>
      <c r="N59" s="239"/>
    </row>
    <row r="60" spans="1:14" s="69" customFormat="1" ht="13.7" customHeight="1" x14ac:dyDescent="0.2">
      <c r="A60" s="53">
        <v>49</v>
      </c>
      <c r="B60" s="99">
        <v>22</v>
      </c>
      <c r="C60" s="63" t="str">
        <f t="shared" si="8"/>
        <v>GER19980505</v>
      </c>
      <c r="D60" s="64" t="str">
        <f t="shared" si="9"/>
        <v>HAUPT Tarik</v>
      </c>
      <c r="E60" s="65" t="str">
        <f t="shared" si="10"/>
        <v>RG BERLIN</v>
      </c>
      <c r="F60" s="66" t="str">
        <f t="shared" si="11"/>
        <v>BER 032308</v>
      </c>
      <c r="G60" s="67" t="str">
        <f t="shared" si="12"/>
        <v>CADET</v>
      </c>
      <c r="H60" s="67" t="str">
        <f t="shared" si="13"/>
        <v>RGB</v>
      </c>
      <c r="I60" s="236">
        <f t="shared" si="14"/>
        <v>7.4457175925926253E-3</v>
      </c>
      <c r="J60" s="237">
        <f t="shared" si="15"/>
        <v>7.411226851852179E-4</v>
      </c>
      <c r="K60" s="31"/>
      <c r="L60" s="231">
        <v>6.7167939814814823E-2</v>
      </c>
      <c r="M60" s="230">
        <v>5.9722222222222197E-2</v>
      </c>
      <c r="N60" s="239"/>
    </row>
    <row r="61" spans="1:14" s="69" customFormat="1" ht="13.7" customHeight="1" x14ac:dyDescent="0.2">
      <c r="A61" s="53">
        <v>50</v>
      </c>
      <c r="B61" s="99">
        <v>41</v>
      </c>
      <c r="C61" s="63" t="str">
        <f t="shared" si="8"/>
        <v>CZE19960310</v>
      </c>
      <c r="D61" s="64" t="str">
        <f t="shared" si="9"/>
        <v xml:space="preserve">ŠULC Jakub </v>
      </c>
      <c r="E61" s="65" t="str">
        <f t="shared" si="10"/>
        <v xml:space="preserve">KOLA-BBM.CZ </v>
      </c>
      <c r="F61" s="66">
        <f t="shared" si="11"/>
        <v>3358</v>
      </c>
      <c r="G61" s="67" t="str">
        <f t="shared" si="12"/>
        <v>JUNIOR</v>
      </c>
      <c r="H61" s="67" t="str">
        <f t="shared" si="13"/>
        <v>KOO</v>
      </c>
      <c r="I61" s="236">
        <f t="shared" si="14"/>
        <v>7.4507870370370023E-3</v>
      </c>
      <c r="J61" s="237">
        <f t="shared" si="15"/>
        <v>7.4619212962959494E-4</v>
      </c>
      <c r="K61" s="31"/>
      <c r="L61" s="231">
        <v>2.4117453703703703E-2</v>
      </c>
      <c r="M61" s="230">
        <v>1.6666666666666701E-2</v>
      </c>
      <c r="N61" s="239"/>
    </row>
    <row r="62" spans="1:14" s="69" customFormat="1" ht="13.7" customHeight="1" x14ac:dyDescent="0.2">
      <c r="A62" s="53">
        <v>51</v>
      </c>
      <c r="B62" s="99">
        <v>165</v>
      </c>
      <c r="C62" s="63" t="str">
        <f t="shared" si="8"/>
        <v>RUS19960517</v>
      </c>
      <c r="D62" s="64" t="str">
        <f t="shared" si="9"/>
        <v xml:space="preserve">MARTYSHEV Aleksandr </v>
      </c>
      <c r="E62" s="65" t="str">
        <f t="shared" si="10"/>
        <v>RUSSIAN CYCLING FEDERATION</v>
      </c>
      <c r="F62" s="66" t="str">
        <f t="shared" si="11"/>
        <v>B0270</v>
      </c>
      <c r="G62" s="67" t="str">
        <f t="shared" si="12"/>
        <v>JUNIOR</v>
      </c>
      <c r="H62" s="67" t="str">
        <f t="shared" si="13"/>
        <v>RUS</v>
      </c>
      <c r="I62" s="236">
        <f t="shared" si="14"/>
        <v>7.4585532407407673E-3</v>
      </c>
      <c r="J62" s="237">
        <f t="shared" si="15"/>
        <v>7.5395833333335993E-4</v>
      </c>
      <c r="K62" s="31"/>
      <c r="L62" s="231">
        <v>7.8291886574074071E-2</v>
      </c>
      <c r="M62" s="230">
        <v>7.0833333333333304E-2</v>
      </c>
      <c r="N62" s="239"/>
    </row>
    <row r="63" spans="1:14" s="69" customFormat="1" ht="13.7" customHeight="1" x14ac:dyDescent="0.2">
      <c r="A63" s="53">
        <v>52</v>
      </c>
      <c r="B63" s="99">
        <v>122</v>
      </c>
      <c r="C63" s="63" t="str">
        <f t="shared" si="8"/>
        <v>CZE19971201</v>
      </c>
      <c r="D63" s="64" t="str">
        <f t="shared" si="9"/>
        <v xml:space="preserve">CHYTIL Daniel </v>
      </c>
      <c r="E63" s="65" t="str">
        <f t="shared" si="10"/>
        <v xml:space="preserve">SKC TUFO PROSTĚJOV </v>
      </c>
      <c r="F63" s="66">
        <f t="shared" si="11"/>
        <v>13150</v>
      </c>
      <c r="G63" s="67" t="str">
        <f t="shared" si="12"/>
        <v>JUNIOR*</v>
      </c>
      <c r="H63" s="67" t="str">
        <f t="shared" si="13"/>
        <v>SKC</v>
      </c>
      <c r="I63" s="236">
        <f t="shared" si="14"/>
        <v>7.4737615740740702E-3</v>
      </c>
      <c r="J63" s="237">
        <f t="shared" si="15"/>
        <v>7.6916666666666279E-4</v>
      </c>
      <c r="K63" s="31"/>
      <c r="L63" s="231">
        <v>1.302931712962963E-2</v>
      </c>
      <c r="M63" s="230">
        <v>5.5555555555555601E-3</v>
      </c>
      <c r="N63" s="239"/>
    </row>
    <row r="64" spans="1:14" s="69" customFormat="1" ht="13.7" customHeight="1" x14ac:dyDescent="0.2">
      <c r="A64" s="53">
        <v>53</v>
      </c>
      <c r="B64" s="99">
        <v>58</v>
      </c>
      <c r="C64" s="63" t="str">
        <f t="shared" si="8"/>
        <v>CZE19970902</v>
      </c>
      <c r="D64" s="64" t="str">
        <f t="shared" si="9"/>
        <v xml:space="preserve">VÝVODA Jan </v>
      </c>
      <c r="E64" s="65" t="str">
        <f t="shared" si="10"/>
        <v xml:space="preserve">TJ SIGMA HRANICE </v>
      </c>
      <c r="F64" s="66">
        <f t="shared" si="11"/>
        <v>7780</v>
      </c>
      <c r="G64" s="67" t="str">
        <f t="shared" si="12"/>
        <v>JUNIOR*</v>
      </c>
      <c r="H64" s="67" t="str">
        <f t="shared" si="13"/>
        <v>GLI</v>
      </c>
      <c r="I64" s="236">
        <f t="shared" si="14"/>
        <v>7.4885300925925935E-3</v>
      </c>
      <c r="J64" s="237">
        <f t="shared" si="15"/>
        <v>7.8393518518518612E-4</v>
      </c>
      <c r="K64" s="31"/>
      <c r="L64" s="231">
        <v>3.8738530092592594E-2</v>
      </c>
      <c r="M64" s="230">
        <v>3.125E-2</v>
      </c>
      <c r="N64" s="239"/>
    </row>
    <row r="65" spans="1:14" s="69" customFormat="1" ht="13.7" customHeight="1" x14ac:dyDescent="0.2">
      <c r="A65" s="53">
        <v>54</v>
      </c>
      <c r="B65" s="99">
        <v>54</v>
      </c>
      <c r="C65" s="63" t="str">
        <f t="shared" si="8"/>
        <v>POL19960621</v>
      </c>
      <c r="D65" s="64" t="str">
        <f t="shared" si="9"/>
        <v>TROSZOK Robert</v>
      </c>
      <c r="E65" s="65" t="str">
        <f t="shared" si="10"/>
        <v>GRUPA KOLARSKA GLIWICE BA</v>
      </c>
      <c r="F65" s="66" t="str">
        <f t="shared" si="11"/>
        <v>SLA231</v>
      </c>
      <c r="G65" s="67" t="str">
        <f t="shared" si="12"/>
        <v>JUNIOR</v>
      </c>
      <c r="H65" s="67" t="str">
        <f t="shared" si="13"/>
        <v>GLI</v>
      </c>
      <c r="I65" s="236">
        <f t="shared" si="14"/>
        <v>7.4991666666666644E-3</v>
      </c>
      <c r="J65" s="237">
        <f t="shared" si="15"/>
        <v>7.9457175925925702E-4</v>
      </c>
      <c r="K65" s="31"/>
      <c r="L65" s="231">
        <v>1.0276944444444444E-2</v>
      </c>
      <c r="M65" s="230">
        <v>2.7777777777777801E-3</v>
      </c>
      <c r="N65" s="239"/>
    </row>
    <row r="66" spans="1:14" s="69" customFormat="1" ht="13.7" customHeight="1" x14ac:dyDescent="0.2">
      <c r="A66" s="53">
        <v>55</v>
      </c>
      <c r="B66" s="221">
        <v>132</v>
      </c>
      <c r="C66" s="63" t="str">
        <f t="shared" si="8"/>
        <v>AUT19961021</v>
      </c>
      <c r="D66" s="64" t="str">
        <f t="shared" si="9"/>
        <v>KNAPP Daniel</v>
      </c>
      <c r="E66" s="65" t="str">
        <f t="shared" si="10"/>
        <v>UNION RAIFFEISEN RADTEAM TIROL</v>
      </c>
      <c r="F66" s="66">
        <f t="shared" si="11"/>
        <v>100480</v>
      </c>
      <c r="G66" s="67" t="str">
        <f t="shared" si="12"/>
        <v>JUNIOR</v>
      </c>
      <c r="H66" s="67" t="str">
        <f t="shared" si="13"/>
        <v>RCA</v>
      </c>
      <c r="I66" s="236">
        <f t="shared" si="14"/>
        <v>7.518148148148121E-3</v>
      </c>
      <c r="J66" s="237">
        <f t="shared" si="15"/>
        <v>8.1355324074071367E-4</v>
      </c>
      <c r="K66" s="31"/>
      <c r="L66" s="231">
        <v>8.5295925925925928E-2</v>
      </c>
      <c r="M66" s="230">
        <v>7.7777777777777807E-2</v>
      </c>
      <c r="N66" s="239"/>
    </row>
    <row r="67" spans="1:14" s="69" customFormat="1" ht="13.7" customHeight="1" x14ac:dyDescent="0.2">
      <c r="A67" s="53">
        <v>56</v>
      </c>
      <c r="B67" s="99">
        <v>106</v>
      </c>
      <c r="C67" s="63" t="str">
        <f t="shared" si="8"/>
        <v>CZE19970109</v>
      </c>
      <c r="D67" s="64" t="str">
        <f t="shared" si="9"/>
        <v xml:space="preserve">SVATEK Miroslav </v>
      </c>
      <c r="E67" s="65" t="str">
        <f t="shared" si="10"/>
        <v xml:space="preserve">PROFI SPORT CHEB </v>
      </c>
      <c r="F67" s="66">
        <f t="shared" si="11"/>
        <v>9623</v>
      </c>
      <c r="G67" s="67" t="str">
        <f t="shared" si="12"/>
        <v>JUNIOR*</v>
      </c>
      <c r="H67" s="67" t="str">
        <f t="shared" si="13"/>
        <v>LOU</v>
      </c>
      <c r="I67" s="236">
        <f t="shared" si="14"/>
        <v>7.5208101851851755E-3</v>
      </c>
      <c r="J67" s="237">
        <f t="shared" si="15"/>
        <v>8.1621527777776814E-4</v>
      </c>
      <c r="K67" s="31"/>
      <c r="L67" s="231">
        <v>7.1409699074074073E-2</v>
      </c>
      <c r="M67" s="230">
        <v>6.3888888888888898E-2</v>
      </c>
      <c r="N67" s="239"/>
    </row>
    <row r="68" spans="1:14" s="69" customFormat="1" ht="13.7" customHeight="1" x14ac:dyDescent="0.2">
      <c r="A68" s="53">
        <v>57</v>
      </c>
      <c r="B68" s="99">
        <v>82</v>
      </c>
      <c r="C68" s="63" t="str">
        <f t="shared" si="8"/>
        <v>CZE19960127</v>
      </c>
      <c r="D68" s="64" t="str">
        <f t="shared" si="9"/>
        <v xml:space="preserve">ŠIPOŠ Marek </v>
      </c>
      <c r="E68" s="65" t="str">
        <f t="shared" si="10"/>
        <v xml:space="preserve">TJ KOVO PRAHA </v>
      </c>
      <c r="F68" s="66">
        <f t="shared" si="11"/>
        <v>17984</v>
      </c>
      <c r="G68" s="67" t="str">
        <f t="shared" si="12"/>
        <v>JUNIOR</v>
      </c>
      <c r="H68" s="67" t="str">
        <f t="shared" si="13"/>
        <v>KOV</v>
      </c>
      <c r="I68" s="236">
        <f t="shared" si="14"/>
        <v>7.5225694444444879E-3</v>
      </c>
      <c r="J68" s="237">
        <f t="shared" si="15"/>
        <v>8.1797453703708056E-4</v>
      </c>
      <c r="K68" s="31"/>
      <c r="L68" s="231">
        <v>3.321701388888889E-2</v>
      </c>
      <c r="M68" s="230">
        <v>2.5694444444444402E-2</v>
      </c>
      <c r="N68" s="239"/>
    </row>
    <row r="69" spans="1:14" s="69" customFormat="1" ht="13.7" customHeight="1" x14ac:dyDescent="0.2">
      <c r="A69" s="53">
        <v>58</v>
      </c>
      <c r="B69" s="99">
        <v>50</v>
      </c>
      <c r="C69" s="63" t="str">
        <f t="shared" si="8"/>
        <v>CZE19960203</v>
      </c>
      <c r="D69" s="64" t="str">
        <f t="shared" si="9"/>
        <v xml:space="preserve">VRÁNA Dominik </v>
      </c>
      <c r="E69" s="65" t="str">
        <f t="shared" si="10"/>
        <v>KC KOOPERATIVA SG JABLONEC N.N</v>
      </c>
      <c r="F69" s="66">
        <f t="shared" si="11"/>
        <v>8884</v>
      </c>
      <c r="G69" s="67" t="str">
        <f t="shared" si="12"/>
        <v>JUNIOR</v>
      </c>
      <c r="H69" s="67" t="str">
        <f t="shared" si="13"/>
        <v>KOO</v>
      </c>
      <c r="I69" s="236">
        <f t="shared" si="14"/>
        <v>7.5341550925926374E-3</v>
      </c>
      <c r="J69" s="237">
        <f t="shared" si="15"/>
        <v>8.2956018518523002E-4</v>
      </c>
      <c r="K69" s="31"/>
      <c r="L69" s="231">
        <v>2.0728599537037037E-2</v>
      </c>
      <c r="M69" s="230">
        <v>1.3194444444444399E-2</v>
      </c>
      <c r="N69" s="239"/>
    </row>
    <row r="70" spans="1:14" s="69" customFormat="1" ht="13.7" customHeight="1" x14ac:dyDescent="0.2">
      <c r="A70" s="53">
        <v>59</v>
      </c>
      <c r="B70" s="99">
        <v>107</v>
      </c>
      <c r="C70" s="63" t="str">
        <f t="shared" si="8"/>
        <v>CZE19970110</v>
      </c>
      <c r="D70" s="64" t="str">
        <f t="shared" si="9"/>
        <v xml:space="preserve">KŘIKAVA Jakub </v>
      </c>
      <c r="E70" s="65" t="str">
        <f t="shared" si="10"/>
        <v xml:space="preserve">TJ ZČE CYKLISTIKA PLZEŇ </v>
      </c>
      <c r="F70" s="66">
        <f t="shared" si="11"/>
        <v>9167</v>
      </c>
      <c r="G70" s="67" t="str">
        <f t="shared" si="12"/>
        <v>JUNIOR*</v>
      </c>
      <c r="H70" s="67" t="str">
        <f t="shared" si="13"/>
        <v>LOU</v>
      </c>
      <c r="I70" s="236">
        <f t="shared" si="14"/>
        <v>7.5373263888888903E-3</v>
      </c>
      <c r="J70" s="237">
        <f t="shared" si="15"/>
        <v>8.327314814814829E-4</v>
      </c>
      <c r="K70" s="31"/>
      <c r="L70" s="229">
        <v>3.2537326388888892E-2</v>
      </c>
      <c r="M70" s="230">
        <v>2.5000000000000001E-2</v>
      </c>
      <c r="N70" s="239"/>
    </row>
    <row r="71" spans="1:14" s="69" customFormat="1" ht="13.7" customHeight="1" x14ac:dyDescent="0.2">
      <c r="A71" s="53">
        <v>60</v>
      </c>
      <c r="B71" s="99">
        <v>147</v>
      </c>
      <c r="C71" s="63" t="str">
        <f t="shared" si="8"/>
        <v>CZE19960618</v>
      </c>
      <c r="D71" s="64" t="str">
        <f t="shared" si="9"/>
        <v xml:space="preserve">PETRUŠ Jiří </v>
      </c>
      <c r="E71" s="65" t="str">
        <f t="shared" si="10"/>
        <v xml:space="preserve">MAPEI CYKLO KAŇKOVSKÝ </v>
      </c>
      <c r="F71" s="66">
        <f t="shared" si="11"/>
        <v>12841</v>
      </c>
      <c r="G71" s="67" t="str">
        <f t="shared" si="12"/>
        <v>JUNIOR</v>
      </c>
      <c r="H71" s="67" t="str">
        <f t="shared" si="13"/>
        <v>MAP</v>
      </c>
      <c r="I71" s="236">
        <f t="shared" si="14"/>
        <v>7.5455324074073515E-3</v>
      </c>
      <c r="J71" s="237">
        <f t="shared" si="15"/>
        <v>8.4093749999994416E-4</v>
      </c>
      <c r="K71" s="31"/>
      <c r="L71" s="231">
        <v>7.5601087962962957E-2</v>
      </c>
      <c r="M71" s="230">
        <v>6.8055555555555605E-2</v>
      </c>
      <c r="N71" s="239"/>
    </row>
    <row r="72" spans="1:14" s="69" customFormat="1" ht="13.7" customHeight="1" x14ac:dyDescent="0.2">
      <c r="A72" s="53">
        <v>61</v>
      </c>
      <c r="B72" s="99">
        <v>59</v>
      </c>
      <c r="C72" s="63" t="str">
        <f t="shared" si="8"/>
        <v>CZE19960727</v>
      </c>
      <c r="D72" s="64" t="str">
        <f t="shared" si="9"/>
        <v xml:space="preserve">PREJDA Václav </v>
      </c>
      <c r="E72" s="65" t="str">
        <f t="shared" si="10"/>
        <v xml:space="preserve">SK JIŘÍ TEAM OSTRAVA </v>
      </c>
      <c r="F72" s="66">
        <f t="shared" si="11"/>
        <v>16035</v>
      </c>
      <c r="G72" s="67" t="str">
        <f t="shared" si="12"/>
        <v>JUNIOR</v>
      </c>
      <c r="H72" s="67" t="str">
        <f t="shared" si="13"/>
        <v>GLI</v>
      </c>
      <c r="I72" s="236">
        <f t="shared" si="14"/>
        <v>7.5654745370370355E-3</v>
      </c>
      <c r="J72" s="237">
        <f t="shared" si="15"/>
        <v>8.6087962962962811E-4</v>
      </c>
      <c r="K72" s="31"/>
      <c r="L72" s="231">
        <v>2.0065474537037036E-2</v>
      </c>
      <c r="M72" s="230">
        <v>1.2500000000000001E-2</v>
      </c>
      <c r="N72" s="239"/>
    </row>
    <row r="73" spans="1:14" s="69" customFormat="1" ht="13.7" customHeight="1" x14ac:dyDescent="0.2">
      <c r="A73" s="53">
        <v>62</v>
      </c>
      <c r="B73" s="99">
        <v>48</v>
      </c>
      <c r="C73" s="63" t="str">
        <f t="shared" si="8"/>
        <v>CZE19981009</v>
      </c>
      <c r="D73" s="64" t="str">
        <f t="shared" si="9"/>
        <v xml:space="preserve">SIRŮČEK Václav </v>
      </c>
      <c r="E73" s="65" t="str">
        <f t="shared" si="10"/>
        <v>KC KOOPERATIVA SG JABLONEC N.N</v>
      </c>
      <c r="F73" s="66">
        <f t="shared" si="11"/>
        <v>8749</v>
      </c>
      <c r="G73" s="67" t="str">
        <f t="shared" si="12"/>
        <v>CADET</v>
      </c>
      <c r="H73" s="67" t="str">
        <f t="shared" si="13"/>
        <v>KOO</v>
      </c>
      <c r="I73" s="236">
        <f t="shared" si="14"/>
        <v>7.5696759259259103E-3</v>
      </c>
      <c r="J73" s="237">
        <f t="shared" si="15"/>
        <v>8.6508101851850289E-4</v>
      </c>
      <c r="K73" s="31"/>
      <c r="L73" s="231">
        <v>6.6597453703703707E-2</v>
      </c>
      <c r="M73" s="230">
        <v>5.9027777777777797E-2</v>
      </c>
      <c r="N73" s="239"/>
    </row>
    <row r="74" spans="1:14" s="69" customFormat="1" ht="13.7" customHeight="1" x14ac:dyDescent="0.2">
      <c r="A74" s="53">
        <v>63</v>
      </c>
      <c r="B74" s="221">
        <v>12</v>
      </c>
      <c r="C74" s="63" t="str">
        <f t="shared" si="8"/>
        <v>GER19960405</v>
      </c>
      <c r="D74" s="64" t="str">
        <f t="shared" si="9"/>
        <v>WITTE Reinhard</v>
      </c>
      <c r="E74" s="65" t="str">
        <f t="shared" si="10"/>
        <v>JUNIOREN SCHWALBE TEAM SACHSEN</v>
      </c>
      <c r="F74" s="66" t="str">
        <f t="shared" si="11"/>
        <v>SAC 141671</v>
      </c>
      <c r="G74" s="67" t="str">
        <f t="shared" si="12"/>
        <v>JUNIOR</v>
      </c>
      <c r="H74" s="67" t="str">
        <f t="shared" si="13"/>
        <v>SCW</v>
      </c>
      <c r="I74" s="236">
        <f t="shared" si="14"/>
        <v>7.6061574074074156E-3</v>
      </c>
      <c r="J74" s="237">
        <f t="shared" si="15"/>
        <v>9.0156250000000826E-4</v>
      </c>
      <c r="K74" s="31"/>
      <c r="L74" s="231">
        <v>8.2606157407407413E-2</v>
      </c>
      <c r="M74" s="230">
        <v>7.4999999999999997E-2</v>
      </c>
      <c r="N74" s="239"/>
    </row>
    <row r="75" spans="1:14" s="69" customFormat="1" ht="13.7" customHeight="1" x14ac:dyDescent="0.2">
      <c r="A75" s="53">
        <v>64</v>
      </c>
      <c r="B75" s="99">
        <v>63</v>
      </c>
      <c r="C75" s="63" t="str">
        <f t="shared" si="8"/>
        <v>POL19960116</v>
      </c>
      <c r="D75" s="64" t="str">
        <f t="shared" si="9"/>
        <v>GORZAWSKI Kamil</v>
      </c>
      <c r="E75" s="65" t="str">
        <f t="shared" si="10"/>
        <v xml:space="preserve">DSR AUTHOR GÓRNIK WAŁBRZYCH </v>
      </c>
      <c r="F75" s="66" t="str">
        <f t="shared" si="11"/>
        <v>DLS164</v>
      </c>
      <c r="G75" s="67" t="str">
        <f t="shared" si="12"/>
        <v>JUNIOR</v>
      </c>
      <c r="H75" s="67" t="str">
        <f t="shared" si="13"/>
        <v>GOR</v>
      </c>
      <c r="I75" s="236">
        <f t="shared" si="14"/>
        <v>7.6216550925925844E-3</v>
      </c>
      <c r="J75" s="237">
        <f t="shared" si="15"/>
        <v>9.1706018518517701E-4</v>
      </c>
      <c r="K75" s="31"/>
      <c r="L75" s="231">
        <v>6.3871655092592586E-2</v>
      </c>
      <c r="M75" s="230">
        <v>5.6250000000000001E-2</v>
      </c>
      <c r="N75" s="239"/>
    </row>
    <row r="76" spans="1:14" s="69" customFormat="1" ht="13.7" customHeight="1" x14ac:dyDescent="0.2">
      <c r="A76" s="53">
        <v>65</v>
      </c>
      <c r="B76" s="99">
        <v>13</v>
      </c>
      <c r="C76" s="63" t="str">
        <f t="shared" ref="C76:C107" si="16">VLOOKUP(B76,STARTOVKA,2,0)</f>
        <v>GER19970125</v>
      </c>
      <c r="D76" s="64" t="str">
        <f t="shared" ref="D76:D107" si="17">VLOOKUP(B76,STARTOVKA,3,0)</f>
        <v>FRANZ Toni</v>
      </c>
      <c r="E76" s="65" t="str">
        <f t="shared" ref="E76:E107" si="18">VLOOKUP(B76,STARTOVKA,4,0)</f>
        <v>JUNIOREN SCHWALBE TEAM SACHSEN</v>
      </c>
      <c r="F76" s="66" t="str">
        <f t="shared" ref="F76:F107" si="19">VLOOKUP(B76,STARTOVKA,5,0)</f>
        <v xml:space="preserve">SAC 134961 </v>
      </c>
      <c r="G76" s="67" t="str">
        <f t="shared" ref="G76:G107" si="20">VLOOKUP(B76,STARTOVKA,6,0)</f>
        <v>JUNIOR*</v>
      </c>
      <c r="H76" s="67" t="str">
        <f t="shared" ref="H76:H107" si="21">VLOOKUP(B76,STARTOVKA,7,0)</f>
        <v>SCW</v>
      </c>
      <c r="I76" s="236">
        <f t="shared" ref="I76:I107" si="22">L76-M76+N76</f>
        <v>7.6260416666666577E-3</v>
      </c>
      <c r="J76" s="237">
        <f t="shared" ref="J76:J107" si="23">I76-$I$12</f>
        <v>9.2144675925925033E-4</v>
      </c>
      <c r="K76" s="31"/>
      <c r="L76" s="229">
        <v>2.1514930555555558E-2</v>
      </c>
      <c r="M76" s="230">
        <v>1.38888888888889E-2</v>
      </c>
      <c r="N76" s="239"/>
    </row>
    <row r="77" spans="1:14" s="69" customFormat="1" ht="13.7" customHeight="1" x14ac:dyDescent="0.2">
      <c r="A77" s="53">
        <v>66</v>
      </c>
      <c r="B77" s="99">
        <v>49</v>
      </c>
      <c r="C77" s="63" t="str">
        <f t="shared" si="16"/>
        <v>CZE19960703</v>
      </c>
      <c r="D77" s="64" t="str">
        <f t="shared" si="17"/>
        <v xml:space="preserve">ŠÍREK Adrian </v>
      </c>
      <c r="E77" s="65" t="str">
        <f t="shared" si="18"/>
        <v>KC KOOPERATIVA SG JABLONEC N.N</v>
      </c>
      <c r="F77" s="66">
        <f t="shared" si="19"/>
        <v>12955</v>
      </c>
      <c r="G77" s="67" t="str">
        <f t="shared" si="20"/>
        <v>JUNIOR</v>
      </c>
      <c r="H77" s="67" t="str">
        <f t="shared" si="21"/>
        <v>KOO</v>
      </c>
      <c r="I77" s="236">
        <f t="shared" si="22"/>
        <v>7.633796296296326E-3</v>
      </c>
      <c r="J77" s="237">
        <f t="shared" si="23"/>
        <v>9.2920138888891862E-4</v>
      </c>
      <c r="K77" s="31"/>
      <c r="L77" s="231">
        <v>6.5967129629629626E-2</v>
      </c>
      <c r="M77" s="230">
        <v>5.83333333333333E-2</v>
      </c>
      <c r="N77" s="239"/>
    </row>
    <row r="78" spans="1:14" s="69" customFormat="1" ht="13.7" customHeight="1" x14ac:dyDescent="0.2">
      <c r="A78" s="53">
        <v>67</v>
      </c>
      <c r="B78" s="99">
        <v>8</v>
      </c>
      <c r="C78" s="63" t="str">
        <f t="shared" si="16"/>
        <v>GER19980416</v>
      </c>
      <c r="D78" s="64" t="str">
        <f t="shared" si="17"/>
        <v>KÄßMANN Fabian</v>
      </c>
      <c r="E78" s="65" t="str">
        <f t="shared" si="18"/>
        <v>1.RSV 1886 GREIZ</v>
      </c>
      <c r="F78" s="66" t="str">
        <f t="shared" si="19"/>
        <v>THÜ173410</v>
      </c>
      <c r="G78" s="67" t="str">
        <f t="shared" si="20"/>
        <v>CADET</v>
      </c>
      <c r="H78" s="67" t="str">
        <f t="shared" si="21"/>
        <v>TUR</v>
      </c>
      <c r="I78" s="236">
        <f t="shared" si="22"/>
        <v>7.6722569444444763E-3</v>
      </c>
      <c r="J78" s="237">
        <f t="shared" si="23"/>
        <v>9.6766203703706893E-4</v>
      </c>
      <c r="K78" s="31"/>
      <c r="L78" s="231">
        <v>5.9755590277777777E-2</v>
      </c>
      <c r="M78" s="230">
        <v>5.2083333333333301E-2</v>
      </c>
      <c r="N78" s="239"/>
    </row>
    <row r="79" spans="1:14" s="69" customFormat="1" ht="13.7" customHeight="1" x14ac:dyDescent="0.2">
      <c r="A79" s="53">
        <v>68</v>
      </c>
      <c r="B79" s="99">
        <v>85</v>
      </c>
      <c r="C79" s="63" t="str">
        <f t="shared" si="16"/>
        <v>CZE19970804</v>
      </c>
      <c r="D79" s="64" t="str">
        <f t="shared" si="17"/>
        <v xml:space="preserve">SPUDIL Martin </v>
      </c>
      <c r="E79" s="65" t="str">
        <f t="shared" si="18"/>
        <v xml:space="preserve">SP KOLO LOAP SPECIALIZED </v>
      </c>
      <c r="F79" s="66">
        <f t="shared" si="19"/>
        <v>10880</v>
      </c>
      <c r="G79" s="67" t="str">
        <f t="shared" si="20"/>
        <v>JUNIOR*</v>
      </c>
      <c r="H79" s="67" t="str">
        <f t="shared" si="21"/>
        <v>KOV</v>
      </c>
      <c r="I79" s="236">
        <f t="shared" si="22"/>
        <v>7.6748611111111115E-3</v>
      </c>
      <c r="J79" s="237">
        <f t="shared" si="23"/>
        <v>9.7026620370370409E-4</v>
      </c>
      <c r="K79" s="31"/>
      <c r="L79" s="231">
        <v>7.6424861111111117E-2</v>
      </c>
      <c r="M79" s="230">
        <v>6.8750000000000006E-2</v>
      </c>
      <c r="N79" s="239"/>
    </row>
    <row r="80" spans="1:14" s="69" customFormat="1" ht="13.7" customHeight="1" x14ac:dyDescent="0.2">
      <c r="A80" s="53">
        <v>69</v>
      </c>
      <c r="B80" s="99">
        <v>148</v>
      </c>
      <c r="C80" s="63" t="str">
        <f t="shared" si="16"/>
        <v>CZE19960522</v>
      </c>
      <c r="D80" s="64" t="str">
        <f t="shared" si="17"/>
        <v xml:space="preserve">PUDL Tomáš </v>
      </c>
      <c r="E80" s="65" t="str">
        <f t="shared" si="18"/>
        <v xml:space="preserve">MAPEI CYKLO KAŇKOVSKÝ </v>
      </c>
      <c r="F80" s="66">
        <f t="shared" si="19"/>
        <v>19342</v>
      </c>
      <c r="G80" s="67" t="str">
        <f t="shared" si="20"/>
        <v>JUNIOR</v>
      </c>
      <c r="H80" s="67" t="str">
        <f t="shared" si="21"/>
        <v>MAP</v>
      </c>
      <c r="I80" s="236">
        <f t="shared" si="22"/>
        <v>7.6762962962962783E-3</v>
      </c>
      <c r="J80" s="237">
        <f t="shared" si="23"/>
        <v>9.7170138888887092E-4</v>
      </c>
      <c r="K80" s="31"/>
      <c r="L80" s="229">
        <v>6.0454074074074077E-2</v>
      </c>
      <c r="M80" s="230">
        <v>5.2777777777777798E-2</v>
      </c>
      <c r="N80" s="239"/>
    </row>
    <row r="81" spans="1:14" s="69" customFormat="1" ht="13.7" customHeight="1" x14ac:dyDescent="0.2">
      <c r="A81" s="53">
        <v>70</v>
      </c>
      <c r="B81" s="99">
        <v>71</v>
      </c>
      <c r="C81" s="63" t="str">
        <f t="shared" si="16"/>
        <v>SVK19970730</v>
      </c>
      <c r="D81" s="64" t="str">
        <f t="shared" si="17"/>
        <v>MEŇUŠ Tomáš</v>
      </c>
      <c r="E81" s="65" t="str">
        <f t="shared" si="18"/>
        <v>CYCLING ACADEMY BRATISLAVA</v>
      </c>
      <c r="F81" s="66">
        <f t="shared" si="19"/>
        <v>6668</v>
      </c>
      <c r="G81" s="67" t="str">
        <f t="shared" si="20"/>
        <v>JUNIOR*</v>
      </c>
      <c r="H81" s="67" t="str">
        <f t="shared" si="21"/>
        <v>SLA</v>
      </c>
      <c r="I81" s="236">
        <f t="shared" si="22"/>
        <v>7.6959027777777763E-3</v>
      </c>
      <c r="J81" s="237">
        <f t="shared" si="23"/>
        <v>9.9130787037036896E-4</v>
      </c>
      <c r="K81" s="31"/>
      <c r="L81" s="231">
        <v>1.5334791666666667E-2</v>
      </c>
      <c r="M81" s="230">
        <v>7.6388888888888904E-3</v>
      </c>
      <c r="N81" s="239"/>
    </row>
    <row r="82" spans="1:14" s="69" customFormat="1" ht="13.7" customHeight="1" x14ac:dyDescent="0.2">
      <c r="A82" s="53">
        <v>71</v>
      </c>
      <c r="B82" s="99">
        <v>101</v>
      </c>
      <c r="C82" s="63" t="str">
        <f t="shared" si="16"/>
        <v>CZE19970829</v>
      </c>
      <c r="D82" s="64" t="str">
        <f t="shared" si="17"/>
        <v xml:space="preserve">BAŘTIPÁN Josef </v>
      </c>
      <c r="E82" s="65" t="str">
        <f t="shared" si="18"/>
        <v xml:space="preserve">TJ STADION LOUNY </v>
      </c>
      <c r="F82" s="66">
        <f t="shared" si="19"/>
        <v>9818</v>
      </c>
      <c r="G82" s="67" t="str">
        <f t="shared" si="20"/>
        <v>JUNIOR*</v>
      </c>
      <c r="H82" s="67" t="str">
        <f t="shared" si="21"/>
        <v>LOU</v>
      </c>
      <c r="I82" s="236">
        <f t="shared" si="22"/>
        <v>7.7010648148148342E-3</v>
      </c>
      <c r="J82" s="237">
        <f t="shared" si="23"/>
        <v>9.964699074074268E-4</v>
      </c>
      <c r="K82" s="31"/>
      <c r="L82" s="231">
        <v>7.367328703703703E-2</v>
      </c>
      <c r="M82" s="230">
        <v>6.5972222222222196E-2</v>
      </c>
      <c r="N82" s="239"/>
    </row>
    <row r="83" spans="1:14" s="69" customFormat="1" ht="13.7" customHeight="1" x14ac:dyDescent="0.2">
      <c r="A83" s="53">
        <v>72</v>
      </c>
      <c r="B83" s="99">
        <v>6</v>
      </c>
      <c r="C83" s="63" t="str">
        <f t="shared" si="16"/>
        <v>GER19970811</v>
      </c>
      <c r="D83" s="64" t="str">
        <f t="shared" si="17"/>
        <v>LINTZEL Philip</v>
      </c>
      <c r="E83" s="65" t="str">
        <f t="shared" si="18"/>
        <v>RSC TURBINE ERFURT</v>
      </c>
      <c r="F83" s="66" t="str">
        <f t="shared" si="19"/>
        <v>THÜ173079</v>
      </c>
      <c r="G83" s="67" t="str">
        <f t="shared" si="20"/>
        <v>JUNIOR*</v>
      </c>
      <c r="H83" s="67" t="str">
        <f t="shared" si="21"/>
        <v>TUR</v>
      </c>
      <c r="I83" s="236">
        <f t="shared" si="22"/>
        <v>7.7031134259259101E-3</v>
      </c>
      <c r="J83" s="237">
        <f t="shared" si="23"/>
        <v>9.9851851851850276E-4</v>
      </c>
      <c r="K83" s="31"/>
      <c r="L83" s="231">
        <v>5.2842002314814812E-2</v>
      </c>
      <c r="M83" s="230">
        <v>4.5138888888888902E-2</v>
      </c>
      <c r="N83" s="239"/>
    </row>
    <row r="84" spans="1:14" s="69" customFormat="1" ht="13.7" customHeight="1" x14ac:dyDescent="0.2">
      <c r="A84" s="53">
        <v>73</v>
      </c>
      <c r="B84" s="99">
        <v>81</v>
      </c>
      <c r="C84" s="63" t="str">
        <f t="shared" si="16"/>
        <v>CZE19980303</v>
      </c>
      <c r="D84" s="64" t="str">
        <f t="shared" si="17"/>
        <v xml:space="preserve">KOUDELA Dominik </v>
      </c>
      <c r="E84" s="65" t="str">
        <f t="shared" si="18"/>
        <v xml:space="preserve">TJ KOVO PRAHA </v>
      </c>
      <c r="F84" s="66">
        <f t="shared" si="19"/>
        <v>13590</v>
      </c>
      <c r="G84" s="67" t="str">
        <f t="shared" si="20"/>
        <v>CADET</v>
      </c>
      <c r="H84" s="67" t="str">
        <f t="shared" si="21"/>
        <v>KOV</v>
      </c>
      <c r="I84" s="236">
        <f t="shared" si="22"/>
        <v>7.7082523148147807E-3</v>
      </c>
      <c r="J84" s="237">
        <f t="shared" si="23"/>
        <v>1.0036574074073733E-3</v>
      </c>
      <c r="K84" s="31"/>
      <c r="L84" s="231">
        <v>3.062491898148148E-2</v>
      </c>
      <c r="M84" s="230">
        <v>2.29166666666667E-2</v>
      </c>
      <c r="N84" s="239"/>
    </row>
    <row r="85" spans="1:14" s="69" customFormat="1" ht="13.7" customHeight="1" x14ac:dyDescent="0.2">
      <c r="A85" s="53">
        <v>74</v>
      </c>
      <c r="B85" s="99">
        <v>51</v>
      </c>
      <c r="C85" s="63" t="str">
        <f t="shared" si="16"/>
        <v>CZE19980726</v>
      </c>
      <c r="D85" s="64" t="str">
        <f t="shared" si="17"/>
        <v xml:space="preserve">POKORNÝ Petr </v>
      </c>
      <c r="E85" s="65" t="str">
        <f t="shared" si="18"/>
        <v xml:space="preserve">ACK STARÁ VES NAD ONDŘEJNICÍ </v>
      </c>
      <c r="F85" s="66">
        <f t="shared" si="19"/>
        <v>9870</v>
      </c>
      <c r="G85" s="67" t="str">
        <f t="shared" si="20"/>
        <v>CADET</v>
      </c>
      <c r="H85" s="67" t="str">
        <f t="shared" si="21"/>
        <v>GLI</v>
      </c>
      <c r="I85" s="236">
        <f t="shared" si="22"/>
        <v>7.7207407407407294E-3</v>
      </c>
      <c r="J85" s="237">
        <f t="shared" si="23"/>
        <v>1.016145833333322E-3</v>
      </c>
      <c r="K85" s="31"/>
      <c r="L85" s="231">
        <v>4.6609629629629633E-2</v>
      </c>
      <c r="M85" s="230">
        <v>3.8888888888888903E-2</v>
      </c>
      <c r="N85" s="239"/>
    </row>
    <row r="86" spans="1:14" s="69" customFormat="1" ht="13.7" customHeight="1" x14ac:dyDescent="0.2">
      <c r="A86" s="53">
        <v>75</v>
      </c>
      <c r="B86" s="99">
        <v>35</v>
      </c>
      <c r="C86" s="63" t="str">
        <f t="shared" si="16"/>
        <v>CZE19970320</v>
      </c>
      <c r="D86" s="64" t="str">
        <f t="shared" si="17"/>
        <v xml:space="preserve">KUTIŠ Martin </v>
      </c>
      <c r="E86" s="65" t="str">
        <f t="shared" si="18"/>
        <v>ALLTRAINING.CZ</v>
      </c>
      <c r="F86" s="66">
        <f t="shared" si="19"/>
        <v>19969</v>
      </c>
      <c r="G86" s="67" t="str">
        <f t="shared" si="20"/>
        <v>JUNIOR*</v>
      </c>
      <c r="H86" s="67" t="str">
        <f t="shared" si="21"/>
        <v>REM</v>
      </c>
      <c r="I86" s="236">
        <f t="shared" si="22"/>
        <v>7.7287384259259323E-3</v>
      </c>
      <c r="J86" s="237">
        <f t="shared" si="23"/>
        <v>1.0241435185185249E-3</v>
      </c>
      <c r="K86" s="31"/>
      <c r="L86" s="231">
        <v>2.6478738425925932E-2</v>
      </c>
      <c r="M86" s="230">
        <v>1.8749999999999999E-2</v>
      </c>
      <c r="N86" s="239"/>
    </row>
    <row r="87" spans="1:14" s="69" customFormat="1" ht="13.7" customHeight="1" x14ac:dyDescent="0.2">
      <c r="A87" s="53">
        <v>76</v>
      </c>
      <c r="B87" s="99">
        <v>43</v>
      </c>
      <c r="C87" s="63" t="str">
        <f t="shared" si="16"/>
        <v>CZE19990209</v>
      </c>
      <c r="D87" s="64" t="str">
        <f t="shared" si="17"/>
        <v xml:space="preserve">HONZÁK David </v>
      </c>
      <c r="E87" s="65" t="str">
        <f t="shared" si="18"/>
        <v>KC KOOPERATIVA SG JABLONEC N.N</v>
      </c>
      <c r="F87" s="66">
        <f t="shared" si="19"/>
        <v>14334</v>
      </c>
      <c r="G87" s="67" t="str">
        <f t="shared" si="20"/>
        <v>CADET*</v>
      </c>
      <c r="H87" s="67" t="str">
        <f t="shared" si="21"/>
        <v>KOO</v>
      </c>
      <c r="I87" s="236">
        <f t="shared" si="22"/>
        <v>7.7345949074074088E-3</v>
      </c>
      <c r="J87" s="237">
        <f t="shared" si="23"/>
        <v>1.0300000000000014E-3</v>
      </c>
      <c r="K87" s="31"/>
      <c r="L87" s="231">
        <v>1.6067928240740739E-2</v>
      </c>
      <c r="M87" s="230">
        <v>8.3333333333333297E-3</v>
      </c>
      <c r="N87" s="239"/>
    </row>
    <row r="88" spans="1:14" s="69" customFormat="1" ht="13.7" customHeight="1" x14ac:dyDescent="0.2">
      <c r="A88" s="53">
        <v>77</v>
      </c>
      <c r="B88" s="99">
        <v>173</v>
      </c>
      <c r="C88" s="63" t="str">
        <f t="shared" si="16"/>
        <v>SVK19970117</v>
      </c>
      <c r="D88" s="64" t="str">
        <f t="shared" si="17"/>
        <v>PORUBAN Dominik</v>
      </c>
      <c r="E88" s="65" t="str">
        <f t="shared" si="18"/>
        <v xml:space="preserve">SLOVAK CYCLING FEDERATION </v>
      </c>
      <c r="F88" s="66">
        <f t="shared" si="19"/>
        <v>6477</v>
      </c>
      <c r="G88" s="67" t="str">
        <f t="shared" si="20"/>
        <v>JUNIOR*</v>
      </c>
      <c r="H88" s="67" t="str">
        <f t="shared" si="21"/>
        <v>SVK</v>
      </c>
      <c r="I88" s="236">
        <f t="shared" si="22"/>
        <v>7.7515393518518549E-3</v>
      </c>
      <c r="J88" s="237">
        <f t="shared" si="23"/>
        <v>1.0469444444444476E-3</v>
      </c>
      <c r="K88" s="31"/>
      <c r="L88" s="231">
        <v>7.0251539351851855E-2</v>
      </c>
      <c r="M88" s="230">
        <v>6.25E-2</v>
      </c>
      <c r="N88" s="239"/>
    </row>
    <row r="89" spans="1:14" s="69" customFormat="1" ht="13.7" customHeight="1" x14ac:dyDescent="0.2">
      <c r="A89" s="53">
        <v>78</v>
      </c>
      <c r="B89" s="99">
        <v>125</v>
      </c>
      <c r="C89" s="63" t="str">
        <f t="shared" si="16"/>
        <v>CZE19970118</v>
      </c>
      <c r="D89" s="64" t="str">
        <f t="shared" si="17"/>
        <v>MAYER Daniel</v>
      </c>
      <c r="E89" s="65" t="str">
        <f t="shared" si="18"/>
        <v>KC HLINSKO</v>
      </c>
      <c r="F89" s="66">
        <f t="shared" si="19"/>
        <v>13274</v>
      </c>
      <c r="G89" s="67" t="str">
        <f t="shared" si="20"/>
        <v>JUNIOR*</v>
      </c>
      <c r="H89" s="67" t="str">
        <f t="shared" si="21"/>
        <v>SKC</v>
      </c>
      <c r="I89" s="236">
        <f t="shared" si="22"/>
        <v>7.7536458333333468E-3</v>
      </c>
      <c r="J89" s="237">
        <f t="shared" si="23"/>
        <v>1.0490509259259394E-3</v>
      </c>
      <c r="K89" s="31"/>
      <c r="L89" s="229">
        <v>3.7614756944444445E-2</v>
      </c>
      <c r="M89" s="230">
        <v>2.9861111111111099E-2</v>
      </c>
      <c r="N89" s="239"/>
    </row>
    <row r="90" spans="1:14" s="69" customFormat="1" ht="13.7" customHeight="1" x14ac:dyDescent="0.2">
      <c r="A90" s="53">
        <v>79</v>
      </c>
      <c r="B90" s="99">
        <v>17</v>
      </c>
      <c r="C90" s="63" t="str">
        <f t="shared" si="16"/>
        <v>GER19980912</v>
      </c>
      <c r="D90" s="64" t="str">
        <f t="shared" si="17"/>
        <v>CLAUSS Marc</v>
      </c>
      <c r="E90" s="65" t="str">
        <f t="shared" si="18"/>
        <v>JUNIOREN SCHWALBE TEAM SACHSEN</v>
      </c>
      <c r="F90" s="66" t="str">
        <f t="shared" si="19"/>
        <v>SAC 135276</v>
      </c>
      <c r="G90" s="67" t="str">
        <f t="shared" si="20"/>
        <v>CADET</v>
      </c>
      <c r="H90" s="67" t="str">
        <f t="shared" si="21"/>
        <v>SCW</v>
      </c>
      <c r="I90" s="236">
        <f t="shared" si="22"/>
        <v>7.7678587962962467E-3</v>
      </c>
      <c r="J90" s="237">
        <f t="shared" si="23"/>
        <v>1.0632638888888393E-3</v>
      </c>
      <c r="K90" s="31"/>
      <c r="L90" s="229">
        <v>6.3323414351851848E-2</v>
      </c>
      <c r="M90" s="230">
        <v>5.5555555555555601E-2</v>
      </c>
      <c r="N90" s="239"/>
    </row>
    <row r="91" spans="1:14" s="69" customFormat="1" ht="13.7" customHeight="1" x14ac:dyDescent="0.2">
      <c r="A91" s="53">
        <v>80</v>
      </c>
      <c r="B91" s="99">
        <v>136</v>
      </c>
      <c r="C91" s="63" t="str">
        <f t="shared" si="16"/>
        <v>AUT19970822</v>
      </c>
      <c r="D91" s="64" t="str">
        <f t="shared" si="17"/>
        <v>STEINDLER Julian</v>
      </c>
      <c r="E91" s="65" t="str">
        <f t="shared" si="18"/>
        <v>RC ARBÖ WELS GOURMETFEIN</v>
      </c>
      <c r="F91" s="66">
        <f t="shared" si="19"/>
        <v>100089</v>
      </c>
      <c r="G91" s="67" t="str">
        <f t="shared" si="20"/>
        <v>JUNIOR*</v>
      </c>
      <c r="H91" s="67" t="str">
        <f t="shared" si="21"/>
        <v>RCA</v>
      </c>
      <c r="I91" s="236">
        <f t="shared" si="22"/>
        <v>7.7814004629629951E-3</v>
      </c>
      <c r="J91" s="237">
        <f t="shared" si="23"/>
        <v>1.0768055555555878E-3</v>
      </c>
      <c r="K91" s="31"/>
      <c r="L91" s="231">
        <v>5.3614733796296297E-2</v>
      </c>
      <c r="M91" s="230">
        <v>4.5833333333333302E-2</v>
      </c>
      <c r="N91" s="239"/>
    </row>
    <row r="92" spans="1:14" s="69" customFormat="1" ht="13.7" customHeight="1" x14ac:dyDescent="0.2">
      <c r="A92" s="53">
        <v>81</v>
      </c>
      <c r="B92" s="99">
        <v>84</v>
      </c>
      <c r="C92" s="63" t="str">
        <f t="shared" si="16"/>
        <v>BEL19970116</v>
      </c>
      <c r="D92" s="64" t="str">
        <f t="shared" si="17"/>
        <v>PENNINCK Jens</v>
      </c>
      <c r="E92" s="65" t="str">
        <f t="shared" si="18"/>
        <v>VZW TIELTSE RENNERSCLUB - JIELKER GELDHOF</v>
      </c>
      <c r="F92" s="66">
        <f t="shared" si="19"/>
        <v>35143</v>
      </c>
      <c r="G92" s="67" t="str">
        <f t="shared" si="20"/>
        <v>JUNIOR*</v>
      </c>
      <c r="H92" s="67" t="str">
        <f t="shared" si="21"/>
        <v>KOV</v>
      </c>
      <c r="I92" s="236">
        <f t="shared" si="22"/>
        <v>7.7839351851851785E-3</v>
      </c>
      <c r="J92" s="237">
        <f t="shared" si="23"/>
        <v>1.0793402777777711E-3</v>
      </c>
      <c r="K92" s="31"/>
      <c r="L92" s="231">
        <v>5.7783935185185181E-2</v>
      </c>
      <c r="M92" s="230">
        <v>0.05</v>
      </c>
      <c r="N92" s="239"/>
    </row>
    <row r="93" spans="1:14" s="69" customFormat="1" ht="13.7" customHeight="1" x14ac:dyDescent="0.2">
      <c r="A93" s="53">
        <v>82</v>
      </c>
      <c r="B93" s="99">
        <v>172</v>
      </c>
      <c r="C93" s="63" t="str">
        <f t="shared" si="16"/>
        <v>SVK19971030</v>
      </c>
      <c r="D93" s="64" t="str">
        <f t="shared" si="17"/>
        <v>ZIMANY Kristian</v>
      </c>
      <c r="E93" s="65" t="str">
        <f t="shared" si="18"/>
        <v xml:space="preserve">SLOVAK CYCLING FEDERATION </v>
      </c>
      <c r="F93" s="66">
        <f t="shared" si="19"/>
        <v>5765</v>
      </c>
      <c r="G93" s="67" t="str">
        <f t="shared" si="20"/>
        <v>JUNIOR*</v>
      </c>
      <c r="H93" s="67" t="str">
        <f t="shared" si="21"/>
        <v>SVK</v>
      </c>
      <c r="I93" s="236">
        <f t="shared" si="22"/>
        <v>7.7859490740741222E-3</v>
      </c>
      <c r="J93" s="237">
        <f t="shared" si="23"/>
        <v>1.0813541666667148E-3</v>
      </c>
      <c r="K93" s="31"/>
      <c r="L93" s="231">
        <v>2.7230393518518522E-2</v>
      </c>
      <c r="M93" s="230">
        <v>1.94444444444444E-2</v>
      </c>
      <c r="N93" s="239"/>
    </row>
    <row r="94" spans="1:14" s="69" customFormat="1" ht="13.7" customHeight="1" x14ac:dyDescent="0.2">
      <c r="A94" s="53">
        <v>83</v>
      </c>
      <c r="B94" s="99">
        <v>11</v>
      </c>
      <c r="C94" s="63" t="str">
        <f t="shared" si="16"/>
        <v>GER19961026</v>
      </c>
      <c r="D94" s="64" t="str">
        <f t="shared" si="17"/>
        <v>FRANZ Paul</v>
      </c>
      <c r="E94" s="65" t="str">
        <f t="shared" si="18"/>
        <v>JUNIOREN SCHWALBE TEAM SACHSEN</v>
      </c>
      <c r="F94" s="66" t="str">
        <f t="shared" si="19"/>
        <v>SAC 134886</v>
      </c>
      <c r="G94" s="67" t="str">
        <f t="shared" si="20"/>
        <v>JUNIOR</v>
      </c>
      <c r="H94" s="67" t="str">
        <f t="shared" si="21"/>
        <v>SCW</v>
      </c>
      <c r="I94" s="236">
        <f t="shared" si="22"/>
        <v>7.8252430555555228E-3</v>
      </c>
      <c r="J94" s="237">
        <f t="shared" si="23"/>
        <v>1.1206481481481154E-3</v>
      </c>
      <c r="K94" s="31"/>
      <c r="L94" s="231">
        <v>1.8241909722222224E-2</v>
      </c>
      <c r="M94" s="230">
        <v>1.0416666666666701E-2</v>
      </c>
      <c r="N94" s="239"/>
    </row>
    <row r="95" spans="1:14" s="69" customFormat="1" ht="13.7" customHeight="1" x14ac:dyDescent="0.2">
      <c r="A95" s="53">
        <v>84</v>
      </c>
      <c r="B95" s="99">
        <v>16</v>
      </c>
      <c r="C95" s="63" t="str">
        <f t="shared" si="16"/>
        <v>GER19981217</v>
      </c>
      <c r="D95" s="64" t="str">
        <f t="shared" si="17"/>
        <v>ZÖTTLER Jacob</v>
      </c>
      <c r="E95" s="65" t="str">
        <f t="shared" si="18"/>
        <v>JUNIOREN SCHWALBE TEAM SACHSEN</v>
      </c>
      <c r="F95" s="66" t="str">
        <f t="shared" si="19"/>
        <v>SAC 135443</v>
      </c>
      <c r="G95" s="67" t="str">
        <f t="shared" si="20"/>
        <v>CADET</v>
      </c>
      <c r="H95" s="67" t="str">
        <f t="shared" si="21"/>
        <v>SCW</v>
      </c>
      <c r="I95" s="236">
        <f t="shared" si="22"/>
        <v>7.8790972222222179E-3</v>
      </c>
      <c r="J95" s="237">
        <f t="shared" si="23"/>
        <v>1.1745023148148105E-3</v>
      </c>
      <c r="K95" s="31"/>
      <c r="L95" s="231">
        <v>1.6906874999999998E-2</v>
      </c>
      <c r="M95" s="230">
        <v>9.0277777777777804E-3</v>
      </c>
      <c r="N95" s="239"/>
    </row>
    <row r="96" spans="1:14" s="69" customFormat="1" ht="13.7" customHeight="1" x14ac:dyDescent="0.2">
      <c r="A96" s="53">
        <v>85</v>
      </c>
      <c r="B96" s="99">
        <v>31</v>
      </c>
      <c r="C96" s="63" t="str">
        <f t="shared" si="16"/>
        <v>CZE19960423</v>
      </c>
      <c r="D96" s="64" t="str">
        <f t="shared" si="17"/>
        <v xml:space="preserve">MORÁVEK Zdeněk </v>
      </c>
      <c r="E96" s="65" t="str">
        <f t="shared" si="18"/>
        <v>ALLTRAINING.CZ</v>
      </c>
      <c r="F96" s="66">
        <f t="shared" si="19"/>
        <v>19314</v>
      </c>
      <c r="G96" s="67" t="str">
        <f t="shared" si="20"/>
        <v>JUNIOR</v>
      </c>
      <c r="H96" s="67" t="str">
        <f t="shared" si="21"/>
        <v>REM</v>
      </c>
      <c r="I96" s="236">
        <f t="shared" si="22"/>
        <v>7.8808680555555281E-3</v>
      </c>
      <c r="J96" s="237">
        <f t="shared" si="23"/>
        <v>1.1762731481481208E-3</v>
      </c>
      <c r="K96" s="31"/>
      <c r="L96" s="231">
        <v>3.7047534722222226E-2</v>
      </c>
      <c r="M96" s="230">
        <v>2.9166666666666698E-2</v>
      </c>
      <c r="N96" s="239"/>
    </row>
    <row r="97" spans="1:14" s="69" customFormat="1" ht="13.7" customHeight="1" x14ac:dyDescent="0.2">
      <c r="A97" s="53">
        <v>86</v>
      </c>
      <c r="B97" s="99">
        <v>46</v>
      </c>
      <c r="C97" s="63" t="str">
        <f t="shared" si="16"/>
        <v>CZE19980811</v>
      </c>
      <c r="D97" s="64" t="str">
        <f t="shared" si="17"/>
        <v xml:space="preserve">NOVOTNÝ Jakub </v>
      </c>
      <c r="E97" s="65" t="str">
        <f t="shared" si="18"/>
        <v>KC KOOPERATIVA SG JABLONEC N.N</v>
      </c>
      <c r="F97" s="66">
        <f t="shared" si="19"/>
        <v>19278</v>
      </c>
      <c r="G97" s="67" t="str">
        <f t="shared" si="20"/>
        <v>CADET</v>
      </c>
      <c r="H97" s="67" t="str">
        <f t="shared" si="21"/>
        <v>KOO</v>
      </c>
      <c r="I97" s="236">
        <f t="shared" si="22"/>
        <v>7.9038425925925908E-3</v>
      </c>
      <c r="J97" s="237">
        <f t="shared" si="23"/>
        <v>1.1992476851851834E-3</v>
      </c>
      <c r="K97" s="31"/>
      <c r="L97" s="229">
        <v>9.2927314814814817E-3</v>
      </c>
      <c r="M97" s="230">
        <v>1.38888888888889E-3</v>
      </c>
      <c r="N97" s="239"/>
    </row>
    <row r="98" spans="1:14" s="69" customFormat="1" ht="13.7" customHeight="1" x14ac:dyDescent="0.2">
      <c r="A98" s="53">
        <v>87</v>
      </c>
      <c r="B98" s="99">
        <v>18</v>
      </c>
      <c r="C98" s="63" t="str">
        <f t="shared" si="16"/>
        <v>GER19980906</v>
      </c>
      <c r="D98" s="64" t="str">
        <f t="shared" si="17"/>
        <v>ZSCHOCKE Maximilian</v>
      </c>
      <c r="E98" s="65" t="str">
        <f t="shared" si="18"/>
        <v>JUNIOREN SCHWALBE TEAM SACHSEN</v>
      </c>
      <c r="F98" s="66" t="str">
        <f t="shared" si="19"/>
        <v>SAC 135079</v>
      </c>
      <c r="G98" s="67" t="str">
        <f t="shared" si="20"/>
        <v>CADET</v>
      </c>
      <c r="H98" s="67" t="str">
        <f t="shared" si="21"/>
        <v>SCW</v>
      </c>
      <c r="I98" s="236">
        <f t="shared" si="22"/>
        <v>7.9114814814814499E-3</v>
      </c>
      <c r="J98" s="237">
        <f t="shared" si="23"/>
        <v>1.2068865740740425E-3</v>
      </c>
      <c r="K98" s="31"/>
      <c r="L98" s="231">
        <v>4.9578148148148149E-2</v>
      </c>
      <c r="M98" s="230">
        <v>4.1666666666666699E-2</v>
      </c>
      <c r="N98" s="239"/>
    </row>
    <row r="99" spans="1:14" s="69" customFormat="1" ht="13.7" customHeight="1" x14ac:dyDescent="0.2">
      <c r="A99" s="53">
        <v>88</v>
      </c>
      <c r="B99" s="99">
        <v>83</v>
      </c>
      <c r="C99" s="63" t="str">
        <f t="shared" si="16"/>
        <v>CZE19960724</v>
      </c>
      <c r="D99" s="64" t="str">
        <f t="shared" si="17"/>
        <v xml:space="preserve">BECHYNĚ Matěj </v>
      </c>
      <c r="E99" s="65" t="str">
        <f t="shared" si="18"/>
        <v>VZW TIELTSE RENNERSCLUB - JIELKER GELDHOF</v>
      </c>
      <c r="F99" s="66">
        <f t="shared" si="19"/>
        <v>14315</v>
      </c>
      <c r="G99" s="67" t="str">
        <f t="shared" si="20"/>
        <v>JUNIOR</v>
      </c>
      <c r="H99" s="67" t="str">
        <f t="shared" si="21"/>
        <v>KOV</v>
      </c>
      <c r="I99" s="236">
        <f t="shared" si="22"/>
        <v>7.9217824074073878E-3</v>
      </c>
      <c r="J99" s="237">
        <f t="shared" si="23"/>
        <v>1.2171874999999804E-3</v>
      </c>
      <c r="K99" s="31"/>
      <c r="L99" s="229">
        <v>7.9449560185185189E-2</v>
      </c>
      <c r="M99" s="230">
        <v>7.1527777777777801E-2</v>
      </c>
      <c r="N99" s="239"/>
    </row>
    <row r="100" spans="1:14" s="69" customFormat="1" ht="13.7" customHeight="1" x14ac:dyDescent="0.2">
      <c r="A100" s="53">
        <v>89</v>
      </c>
      <c r="B100" s="99">
        <v>174</v>
      </c>
      <c r="C100" s="63" t="str">
        <f t="shared" si="16"/>
        <v>SVK19970730</v>
      </c>
      <c r="D100" s="64" t="str">
        <f t="shared" si="17"/>
        <v>JELŽA Nicolas</v>
      </c>
      <c r="E100" s="65" t="str">
        <f t="shared" si="18"/>
        <v xml:space="preserve">SLOVAK CYCLING FEDERATION </v>
      </c>
      <c r="F100" s="66">
        <f t="shared" si="19"/>
        <v>4237</v>
      </c>
      <c r="G100" s="67" t="str">
        <f t="shared" si="20"/>
        <v>JUNIOR*</v>
      </c>
      <c r="H100" s="67" t="str">
        <f t="shared" si="21"/>
        <v>SVK</v>
      </c>
      <c r="I100" s="236">
        <f t="shared" si="22"/>
        <v>7.9290046296296435E-3</v>
      </c>
      <c r="J100" s="237">
        <f t="shared" si="23"/>
        <v>1.2244097222222361E-3</v>
      </c>
      <c r="K100" s="31"/>
      <c r="L100" s="231">
        <v>5.0290115740740743E-2</v>
      </c>
      <c r="M100" s="230">
        <v>4.2361111111111099E-2</v>
      </c>
      <c r="N100" s="239"/>
    </row>
    <row r="101" spans="1:14" s="69" customFormat="1" ht="13.7" customHeight="1" x14ac:dyDescent="0.2">
      <c r="A101" s="53">
        <v>90</v>
      </c>
      <c r="B101" s="99">
        <v>135</v>
      </c>
      <c r="C101" s="63" t="str">
        <f t="shared" si="16"/>
        <v>AUT19970502</v>
      </c>
      <c r="D101" s="64" t="str">
        <f t="shared" si="17"/>
        <v>RECKENDORFER Lukas</v>
      </c>
      <c r="E101" s="65" t="str">
        <f t="shared" si="18"/>
        <v>RC ARBÖ WELS GOURMETFEIN</v>
      </c>
      <c r="F101" s="66">
        <f t="shared" si="19"/>
        <v>100756</v>
      </c>
      <c r="G101" s="67" t="str">
        <f t="shared" si="20"/>
        <v>JUNIOR*</v>
      </c>
      <c r="H101" s="67" t="str">
        <f t="shared" si="21"/>
        <v>RCA</v>
      </c>
      <c r="I101" s="236">
        <f t="shared" si="22"/>
        <v>7.9511921296296327E-3</v>
      </c>
      <c r="J101" s="237">
        <f t="shared" si="23"/>
        <v>1.2465972222222253E-3</v>
      </c>
      <c r="K101" s="31"/>
      <c r="L101" s="229">
        <v>1.1423414351851853E-2</v>
      </c>
      <c r="M101" s="230">
        <v>3.4722222222222199E-3</v>
      </c>
      <c r="N101" s="239"/>
    </row>
    <row r="102" spans="1:14" s="69" customFormat="1" ht="13.7" customHeight="1" x14ac:dyDescent="0.2">
      <c r="A102" s="53">
        <v>91</v>
      </c>
      <c r="B102" s="99">
        <v>10</v>
      </c>
      <c r="C102" s="63" t="str">
        <f t="shared" si="16"/>
        <v>GER19970316</v>
      </c>
      <c r="D102" s="64" t="str">
        <f t="shared" si="17"/>
        <v>WELTZ Niclas</v>
      </c>
      <c r="E102" s="65" t="str">
        <f t="shared" si="18"/>
        <v>RSC TURBINE ERFURT</v>
      </c>
      <c r="F102" s="66" t="str">
        <f t="shared" si="19"/>
        <v>THÜ173103</v>
      </c>
      <c r="G102" s="67" t="str">
        <f t="shared" si="20"/>
        <v>JUNIOR*</v>
      </c>
      <c r="H102" s="67" t="str">
        <f t="shared" si="21"/>
        <v>TUR</v>
      </c>
      <c r="I102" s="236">
        <f t="shared" si="22"/>
        <v>7.9698148148148046E-3</v>
      </c>
      <c r="J102" s="237">
        <f t="shared" si="23"/>
        <v>1.2652199074073972E-3</v>
      </c>
      <c r="K102" s="31"/>
      <c r="L102" s="231">
        <v>2.8108703703703705E-2</v>
      </c>
      <c r="M102" s="230">
        <v>2.0138888888888901E-2</v>
      </c>
      <c r="N102" s="239"/>
    </row>
    <row r="103" spans="1:14" s="69" customFormat="1" ht="13.7" customHeight="1" x14ac:dyDescent="0.2">
      <c r="A103" s="53">
        <v>92</v>
      </c>
      <c r="B103" s="99">
        <v>154</v>
      </c>
      <c r="C103" s="63" t="str">
        <f t="shared" si="16"/>
        <v>CZE19970227</v>
      </c>
      <c r="D103" s="64" t="str">
        <f t="shared" si="17"/>
        <v>PAVKA Filip</v>
      </c>
      <c r="E103" s="65" t="str">
        <f t="shared" si="18"/>
        <v>STEVENS ZNOJMO</v>
      </c>
      <c r="F103" s="66">
        <f t="shared" si="19"/>
        <v>20126</v>
      </c>
      <c r="G103" s="67" t="str">
        <f t="shared" si="20"/>
        <v>JUNIOR*</v>
      </c>
      <c r="H103" s="67" t="str">
        <f t="shared" si="21"/>
        <v>SKC</v>
      </c>
      <c r="I103" s="236">
        <f t="shared" si="22"/>
        <v>7.9919212962963129E-3</v>
      </c>
      <c r="J103" s="237">
        <f t="shared" si="23"/>
        <v>1.2873263888889055E-3</v>
      </c>
      <c r="K103" s="31"/>
      <c r="L103" s="231">
        <v>5.6603032407407411E-2</v>
      </c>
      <c r="M103" s="230">
        <v>4.8611111111111098E-2</v>
      </c>
      <c r="N103" s="239"/>
    </row>
    <row r="104" spans="1:14" s="69" customFormat="1" ht="13.7" customHeight="1" x14ac:dyDescent="0.2">
      <c r="A104" s="53">
        <v>93</v>
      </c>
      <c r="B104" s="99">
        <v>103</v>
      </c>
      <c r="C104" s="63" t="str">
        <f t="shared" si="16"/>
        <v>CZE19970319</v>
      </c>
      <c r="D104" s="64" t="str">
        <f t="shared" si="17"/>
        <v xml:space="preserve">NEUMAN Daniel </v>
      </c>
      <c r="E104" s="65" t="str">
        <f t="shared" si="18"/>
        <v xml:space="preserve">TJ STADION LOUNY </v>
      </c>
      <c r="F104" s="66">
        <f t="shared" si="19"/>
        <v>9610</v>
      </c>
      <c r="G104" s="67" t="str">
        <f t="shared" si="20"/>
        <v>JUNIOR*</v>
      </c>
      <c r="H104" s="67" t="str">
        <f t="shared" si="21"/>
        <v>LOU</v>
      </c>
      <c r="I104" s="236">
        <f t="shared" si="22"/>
        <v>7.993530092592592E-3</v>
      </c>
      <c r="J104" s="237">
        <f t="shared" si="23"/>
        <v>1.2889351851851846E-3</v>
      </c>
      <c r="K104" s="31"/>
      <c r="L104" s="229">
        <v>8.6879745370370357E-3</v>
      </c>
      <c r="M104" s="230">
        <v>6.9444444444444447E-4</v>
      </c>
      <c r="N104" s="239"/>
    </row>
    <row r="105" spans="1:14" s="69" customFormat="1" ht="13.7" customHeight="1" x14ac:dyDescent="0.2">
      <c r="A105" s="53">
        <v>94</v>
      </c>
      <c r="B105" s="99">
        <v>42</v>
      </c>
      <c r="C105" s="63" t="str">
        <f t="shared" si="16"/>
        <v>CZE19961125</v>
      </c>
      <c r="D105" s="64" t="str">
        <f t="shared" si="17"/>
        <v xml:space="preserve">ANDRŠ Jakub </v>
      </c>
      <c r="E105" s="65" t="str">
        <f t="shared" si="18"/>
        <v>KC KOOPERATIVA SG JABLONEC N.N</v>
      </c>
      <c r="F105" s="66">
        <f t="shared" si="19"/>
        <v>12251</v>
      </c>
      <c r="G105" s="67" t="str">
        <f t="shared" si="20"/>
        <v>JUNIOR</v>
      </c>
      <c r="H105" s="67" t="str">
        <f t="shared" si="21"/>
        <v>KOO</v>
      </c>
      <c r="I105" s="236">
        <f t="shared" si="22"/>
        <v>7.9956597222222425E-3</v>
      </c>
      <c r="J105" s="237">
        <f t="shared" si="23"/>
        <v>1.2910648148148351E-3</v>
      </c>
      <c r="K105" s="31"/>
      <c r="L105" s="231">
        <v>5.5217881944444443E-2</v>
      </c>
      <c r="M105" s="230">
        <v>4.72222222222222E-2</v>
      </c>
      <c r="N105" s="239"/>
    </row>
    <row r="106" spans="1:14" s="69" customFormat="1" ht="13.7" customHeight="1" x14ac:dyDescent="0.2">
      <c r="A106" s="53">
        <v>95</v>
      </c>
      <c r="B106" s="221">
        <v>113</v>
      </c>
      <c r="C106" s="63" t="str">
        <f t="shared" si="16"/>
        <v>GER19961002</v>
      </c>
      <c r="D106" s="64" t="str">
        <f t="shared" si="17"/>
        <v>ROHDE Louis</v>
      </c>
      <c r="E106" s="65" t="str">
        <f t="shared" si="18"/>
        <v>TEAM BRANDENBURG - RSC COTTBUS</v>
      </c>
      <c r="F106" s="66" t="str">
        <f t="shared" si="19"/>
        <v>062094-11</v>
      </c>
      <c r="G106" s="67" t="str">
        <f t="shared" si="20"/>
        <v>JUNIOR</v>
      </c>
      <c r="H106" s="67" t="str">
        <f t="shared" si="21"/>
        <v>COT</v>
      </c>
      <c r="I106" s="236">
        <f t="shared" si="22"/>
        <v>8.0081249999999632E-3</v>
      </c>
      <c r="J106" s="237">
        <f t="shared" si="23"/>
        <v>1.3035300925925558E-3</v>
      </c>
      <c r="K106" s="31"/>
      <c r="L106" s="231">
        <v>8.231368055555556E-2</v>
      </c>
      <c r="M106" s="230">
        <v>7.4305555555555597E-2</v>
      </c>
      <c r="N106" s="239"/>
    </row>
    <row r="107" spans="1:14" s="69" customFormat="1" ht="13.7" customHeight="1" x14ac:dyDescent="0.2">
      <c r="A107" s="53">
        <v>96</v>
      </c>
      <c r="B107" s="99">
        <v>149</v>
      </c>
      <c r="C107" s="63" t="str">
        <f t="shared" si="16"/>
        <v>CZE19981228</v>
      </c>
      <c r="D107" s="64" t="str">
        <f t="shared" si="17"/>
        <v xml:space="preserve">WAGNER Jakub </v>
      </c>
      <c r="E107" s="65" t="str">
        <f t="shared" si="18"/>
        <v xml:space="preserve">MAPEI CYKLO KAŇKOVSKÝ </v>
      </c>
      <c r="F107" s="66">
        <f t="shared" si="19"/>
        <v>14090</v>
      </c>
      <c r="G107" s="67" t="str">
        <f t="shared" si="20"/>
        <v>CADET</v>
      </c>
      <c r="H107" s="67" t="str">
        <f t="shared" si="21"/>
        <v>MAP</v>
      </c>
      <c r="I107" s="236">
        <f t="shared" si="22"/>
        <v>8.0218171296296478E-3</v>
      </c>
      <c r="J107" s="237">
        <f t="shared" si="23"/>
        <v>1.3172222222222404E-3</v>
      </c>
      <c r="K107" s="31"/>
      <c r="L107" s="231">
        <v>4.8994039351851849E-2</v>
      </c>
      <c r="M107" s="230">
        <v>4.0972222222222202E-2</v>
      </c>
      <c r="N107" s="239"/>
    </row>
    <row r="108" spans="1:14" s="69" customFormat="1" ht="13.7" customHeight="1" x14ac:dyDescent="0.2">
      <c r="A108" s="53">
        <v>97</v>
      </c>
      <c r="B108" s="99">
        <v>9</v>
      </c>
      <c r="C108" s="63" t="str">
        <f t="shared" ref="C108:C128" si="24">VLOOKUP(B108,STARTOVKA,2,0)</f>
        <v>GER19980730</v>
      </c>
      <c r="D108" s="64" t="str">
        <f t="shared" ref="D108:D128" si="25">VLOOKUP(B108,STARTOVKA,3,0)</f>
        <v>PLUNTKE Moritz</v>
      </c>
      <c r="E108" s="65" t="str">
        <f t="shared" ref="E108:E128" si="26">VLOOKUP(B108,STARTOVKA,4,0)</f>
        <v>RSC TURBINE ERFURT</v>
      </c>
      <c r="F108" s="66" t="str">
        <f t="shared" ref="F108:F128" si="27">VLOOKUP(B108,STARTOVKA,5,0)</f>
        <v>THÜ173593</v>
      </c>
      <c r="G108" s="67" t="str">
        <f t="shared" ref="G108:G128" si="28">VLOOKUP(B108,STARTOVKA,6,0)</f>
        <v>CADET</v>
      </c>
      <c r="H108" s="67" t="str">
        <f t="shared" ref="H108:H128" si="29">VLOOKUP(B108,STARTOVKA,7,0)</f>
        <v>TUR</v>
      </c>
      <c r="I108" s="236">
        <f t="shared" ref="I108:I128" si="30">L108-M108+N108</f>
        <v>8.0269328703703718E-3</v>
      </c>
      <c r="J108" s="237">
        <f t="shared" ref="J108:J128" si="31">I108-$I$12</f>
        <v>1.3223379629629644E-3</v>
      </c>
      <c r="K108" s="31"/>
      <c r="L108" s="229">
        <v>1.4276932870370372E-2</v>
      </c>
      <c r="M108" s="230">
        <v>6.2500000000000003E-3</v>
      </c>
      <c r="N108" s="239"/>
    </row>
    <row r="109" spans="1:14" s="69" customFormat="1" ht="13.7" customHeight="1" x14ac:dyDescent="0.2">
      <c r="A109" s="53">
        <v>98</v>
      </c>
      <c r="B109" s="99">
        <v>186</v>
      </c>
      <c r="C109" s="63" t="str">
        <f t="shared" si="24"/>
        <v>AUT19970406</v>
      </c>
      <c r="D109" s="64" t="str">
        <f t="shared" si="25"/>
        <v>WINTER Stefan</v>
      </c>
      <c r="E109" s="65" t="str">
        <f t="shared" si="26"/>
        <v xml:space="preserve">LRV STEIERMARK </v>
      </c>
      <c r="F109" s="66">
        <f t="shared" si="27"/>
        <v>100838</v>
      </c>
      <c r="G109" s="67" t="str">
        <f t="shared" si="28"/>
        <v>JUNIOR*</v>
      </c>
      <c r="H109" s="67" t="str">
        <f t="shared" si="29"/>
        <v>LRV</v>
      </c>
      <c r="I109" s="236">
        <f t="shared" si="30"/>
        <v>8.0387152777777714E-3</v>
      </c>
      <c r="J109" s="237">
        <f t="shared" si="31"/>
        <v>1.334120370370364E-3</v>
      </c>
      <c r="K109" s="31"/>
      <c r="L109" s="229">
        <v>1.2205381944444442E-2</v>
      </c>
      <c r="M109" s="230">
        <v>4.1666666666666701E-3</v>
      </c>
      <c r="N109" s="239"/>
    </row>
    <row r="110" spans="1:14" s="69" customFormat="1" ht="13.7" customHeight="1" x14ac:dyDescent="0.2">
      <c r="A110" s="53">
        <v>99</v>
      </c>
      <c r="B110" s="99">
        <v>65</v>
      </c>
      <c r="C110" s="63" t="str">
        <f t="shared" si="24"/>
        <v>POL19970608</v>
      </c>
      <c r="D110" s="64" t="str">
        <f t="shared" si="25"/>
        <v>BISKUP Bartosz</v>
      </c>
      <c r="E110" s="65" t="str">
        <f t="shared" si="26"/>
        <v xml:space="preserve">DSR AUTHOR GÓRNIK WAŁBRZYCH </v>
      </c>
      <c r="F110" s="66" t="str">
        <f t="shared" si="27"/>
        <v>DLS272</v>
      </c>
      <c r="G110" s="67" t="str">
        <f t="shared" si="28"/>
        <v>JUNIOR*</v>
      </c>
      <c r="H110" s="67" t="str">
        <f t="shared" si="29"/>
        <v>GOR</v>
      </c>
      <c r="I110" s="236">
        <f t="shared" si="30"/>
        <v>8.0479513888888979E-3</v>
      </c>
      <c r="J110" s="237">
        <f t="shared" si="31"/>
        <v>1.3433564814814905E-3</v>
      </c>
      <c r="K110" s="31"/>
      <c r="L110" s="231">
        <v>2.5409062499999999E-2</v>
      </c>
      <c r="M110" s="230">
        <v>1.7361111111111101E-2</v>
      </c>
      <c r="N110" s="239"/>
    </row>
    <row r="111" spans="1:14" s="69" customFormat="1" ht="13.7" customHeight="1" x14ac:dyDescent="0.2">
      <c r="A111" s="53">
        <v>100</v>
      </c>
      <c r="B111" s="99">
        <v>112</v>
      </c>
      <c r="C111" s="63" t="str">
        <f t="shared" si="24"/>
        <v>GER19970122</v>
      </c>
      <c r="D111" s="64" t="str">
        <f t="shared" si="25"/>
        <v>BERAN Andy</v>
      </c>
      <c r="E111" s="65" t="str">
        <f t="shared" si="26"/>
        <v>TEAM BRANDENBURG - RSC COTTBUS</v>
      </c>
      <c r="F111" s="66" t="str">
        <f t="shared" si="27"/>
        <v>604254-11</v>
      </c>
      <c r="G111" s="67" t="str">
        <f t="shared" si="28"/>
        <v>JUNIOR*</v>
      </c>
      <c r="H111" s="67" t="str">
        <f t="shared" si="29"/>
        <v>COT</v>
      </c>
      <c r="I111" s="236">
        <f t="shared" si="30"/>
        <v>8.0698495370370854E-3</v>
      </c>
      <c r="J111" s="237">
        <f t="shared" si="31"/>
        <v>1.365254629629678E-3</v>
      </c>
      <c r="K111" s="31"/>
      <c r="L111" s="231">
        <v>4.6264293981481484E-2</v>
      </c>
      <c r="M111" s="230">
        <v>3.8194444444444399E-2</v>
      </c>
      <c r="N111" s="239"/>
    </row>
    <row r="112" spans="1:14" s="69" customFormat="1" ht="13.7" customHeight="1" x14ac:dyDescent="0.2">
      <c r="A112" s="53">
        <v>101</v>
      </c>
      <c r="B112" s="99">
        <v>75</v>
      </c>
      <c r="C112" s="63" t="str">
        <f t="shared" si="24"/>
        <v>SVK19981117</v>
      </c>
      <c r="D112" s="64" t="str">
        <f t="shared" si="25"/>
        <v>ZEMAN Alex</v>
      </c>
      <c r="E112" s="65" t="str">
        <f t="shared" si="26"/>
        <v>SLÁVIA ŠG TRENČÍN</v>
      </c>
      <c r="F112" s="66">
        <f t="shared" si="27"/>
        <v>6021</v>
      </c>
      <c r="G112" s="67" t="str">
        <f t="shared" si="28"/>
        <v>CADET</v>
      </c>
      <c r="H112" s="67" t="str">
        <f t="shared" si="29"/>
        <v>SLA</v>
      </c>
      <c r="I112" s="236">
        <f t="shared" si="30"/>
        <v>8.0870023148148472E-3</v>
      </c>
      <c r="J112" s="237">
        <f t="shared" si="31"/>
        <v>1.3824074074074398E-3</v>
      </c>
      <c r="K112" s="31"/>
      <c r="L112" s="231">
        <v>2.8920335648148148E-2</v>
      </c>
      <c r="M112" s="230">
        <v>2.0833333333333301E-2</v>
      </c>
      <c r="N112" s="239"/>
    </row>
    <row r="113" spans="1:15" s="69" customFormat="1" ht="13.7" customHeight="1" x14ac:dyDescent="0.2">
      <c r="A113" s="53">
        <v>102</v>
      </c>
      <c r="B113" s="99">
        <v>15</v>
      </c>
      <c r="C113" s="63" t="str">
        <f t="shared" si="24"/>
        <v>GER19980114</v>
      </c>
      <c r="D113" s="64" t="str">
        <f t="shared" si="25"/>
        <v>BONNES Julius</v>
      </c>
      <c r="E113" s="65" t="str">
        <f t="shared" si="26"/>
        <v>JUNIOREN SCHWALBE TEAM SACHSEN</v>
      </c>
      <c r="F113" s="66" t="str">
        <f t="shared" si="27"/>
        <v>SAC 142150</v>
      </c>
      <c r="G113" s="67" t="str">
        <f t="shared" si="28"/>
        <v>CADET</v>
      </c>
      <c r="H113" s="67" t="str">
        <f t="shared" si="29"/>
        <v>SCW</v>
      </c>
      <c r="I113" s="236">
        <f t="shared" si="30"/>
        <v>8.0880555555555549E-3</v>
      </c>
      <c r="J113" s="237">
        <f t="shared" si="31"/>
        <v>1.3834606481481476E-3</v>
      </c>
      <c r="K113" s="31"/>
      <c r="L113" s="231">
        <v>1.7810277777777776E-2</v>
      </c>
      <c r="M113" s="230">
        <v>9.7222222222222206E-3</v>
      </c>
      <c r="N113" s="239"/>
    </row>
    <row r="114" spans="1:15" s="69" customFormat="1" ht="13.7" customHeight="1" x14ac:dyDescent="0.2">
      <c r="A114" s="53">
        <v>103</v>
      </c>
      <c r="B114" s="99">
        <v>53</v>
      </c>
      <c r="C114" s="63" t="str">
        <f t="shared" si="24"/>
        <v>CZE19980914</v>
      </c>
      <c r="D114" s="64" t="str">
        <f t="shared" si="25"/>
        <v>TRACHTULEC Petr</v>
      </c>
      <c r="E114" s="65" t="str">
        <f t="shared" si="26"/>
        <v>CK FESO PETŘVALD</v>
      </c>
      <c r="F114" s="66">
        <f t="shared" si="27"/>
        <v>20073</v>
      </c>
      <c r="G114" s="67" t="str">
        <f t="shared" si="28"/>
        <v>CADET</v>
      </c>
      <c r="H114" s="67" t="str">
        <f t="shared" si="29"/>
        <v>GLI</v>
      </c>
      <c r="I114" s="236">
        <f t="shared" si="30"/>
        <v>8.1043171296296401E-3</v>
      </c>
      <c r="J114" s="237">
        <f t="shared" si="31"/>
        <v>1.3997222222222327E-3</v>
      </c>
      <c r="K114" s="31"/>
      <c r="L114" s="229">
        <v>4.4215428240740741E-2</v>
      </c>
      <c r="M114" s="230">
        <v>3.6111111111111101E-2</v>
      </c>
      <c r="N114" s="239"/>
    </row>
    <row r="115" spans="1:15" s="69" customFormat="1" ht="13.7" customHeight="1" x14ac:dyDescent="0.2">
      <c r="A115" s="53">
        <v>104</v>
      </c>
      <c r="B115" s="99">
        <v>72</v>
      </c>
      <c r="C115" s="63" t="str">
        <f t="shared" si="24"/>
        <v>SVK19960505</v>
      </c>
      <c r="D115" s="64" t="str">
        <f t="shared" si="25"/>
        <v>GANC Marek</v>
      </c>
      <c r="E115" s="65" t="str">
        <f t="shared" si="26"/>
        <v>SLÁVIA ŠG TRENČÍN</v>
      </c>
      <c r="F115" s="66">
        <f t="shared" si="27"/>
        <v>5847</v>
      </c>
      <c r="G115" s="67" t="str">
        <f t="shared" si="28"/>
        <v>JUNIOR</v>
      </c>
      <c r="H115" s="67" t="str">
        <f t="shared" si="29"/>
        <v>SLA</v>
      </c>
      <c r="I115" s="236">
        <f t="shared" si="30"/>
        <v>8.121365740740745E-3</v>
      </c>
      <c r="J115" s="237">
        <f t="shared" si="31"/>
        <v>1.4167708333333376E-3</v>
      </c>
      <c r="K115" s="31"/>
      <c r="L115" s="231">
        <v>1.0204699074074074E-2</v>
      </c>
      <c r="M115" s="230">
        <v>2.0833333333333298E-3</v>
      </c>
      <c r="N115" s="239"/>
      <c r="O115" s="232"/>
    </row>
    <row r="116" spans="1:15" s="69" customFormat="1" ht="13.7" customHeight="1" x14ac:dyDescent="0.2">
      <c r="A116" s="53">
        <v>105</v>
      </c>
      <c r="B116" s="99">
        <v>145</v>
      </c>
      <c r="C116" s="63" t="str">
        <f t="shared" si="24"/>
        <v>CZE19961105</v>
      </c>
      <c r="D116" s="64" t="str">
        <f t="shared" si="25"/>
        <v xml:space="preserve">MUŽ Jan </v>
      </c>
      <c r="E116" s="65" t="str">
        <f t="shared" si="26"/>
        <v xml:space="preserve">MAPEI CYKLO KAŇKOVSKÝ </v>
      </c>
      <c r="F116" s="66">
        <f t="shared" si="27"/>
        <v>19338</v>
      </c>
      <c r="G116" s="67" t="str">
        <f t="shared" si="28"/>
        <v>JUNIOR</v>
      </c>
      <c r="H116" s="67" t="str">
        <f t="shared" si="29"/>
        <v>MAP</v>
      </c>
      <c r="I116" s="236">
        <f t="shared" si="30"/>
        <v>8.1287962962962521E-3</v>
      </c>
      <c r="J116" s="237">
        <f t="shared" si="31"/>
        <v>1.4242013888888447E-3</v>
      </c>
      <c r="K116" s="31"/>
      <c r="L116" s="231">
        <v>3.2434351851851853E-2</v>
      </c>
      <c r="M116" s="230">
        <v>2.4305555555555601E-2</v>
      </c>
      <c r="N116" s="239"/>
      <c r="O116" s="235"/>
    </row>
    <row r="117" spans="1:15" s="69" customFormat="1" ht="13.7" customHeight="1" x14ac:dyDescent="0.2">
      <c r="A117" s="53">
        <v>106</v>
      </c>
      <c r="B117" s="99">
        <v>131</v>
      </c>
      <c r="C117" s="63" t="str">
        <f t="shared" si="24"/>
        <v>AUT19961107</v>
      </c>
      <c r="D117" s="64" t="str">
        <f t="shared" si="25"/>
        <v>FÜHRER Alexander</v>
      </c>
      <c r="E117" s="65" t="str">
        <f t="shared" si="26"/>
        <v>RLM WIEN</v>
      </c>
      <c r="F117" s="66">
        <f t="shared" si="27"/>
        <v>100020</v>
      </c>
      <c r="G117" s="67" t="str">
        <f t="shared" si="28"/>
        <v>JUNIOR</v>
      </c>
      <c r="H117" s="67" t="str">
        <f t="shared" si="29"/>
        <v>RCA</v>
      </c>
      <c r="I117" s="236">
        <f t="shared" si="30"/>
        <v>8.1310069444444008E-3</v>
      </c>
      <c r="J117" s="237">
        <f t="shared" si="31"/>
        <v>1.4264120370369934E-3</v>
      </c>
      <c r="K117" s="31"/>
      <c r="L117" s="229">
        <v>1.9936562500000001E-2</v>
      </c>
      <c r="M117" s="230">
        <v>1.18055555555556E-2</v>
      </c>
      <c r="N117" s="239"/>
    </row>
    <row r="118" spans="1:15" s="69" customFormat="1" ht="13.7" customHeight="1" x14ac:dyDescent="0.2">
      <c r="A118" s="53">
        <v>107</v>
      </c>
      <c r="B118" s="99">
        <v>23</v>
      </c>
      <c r="C118" s="63" t="str">
        <f t="shared" si="24"/>
        <v>GER19981211</v>
      </c>
      <c r="D118" s="64" t="str">
        <f t="shared" si="25"/>
        <v>POUL Rudolph</v>
      </c>
      <c r="E118" s="65" t="str">
        <f t="shared" si="26"/>
        <v>RG BERLIN</v>
      </c>
      <c r="F118" s="66" t="str">
        <f t="shared" si="27"/>
        <v>BER 032411</v>
      </c>
      <c r="G118" s="67" t="str">
        <f t="shared" si="28"/>
        <v>CADET</v>
      </c>
      <c r="H118" s="67" t="str">
        <f t="shared" si="29"/>
        <v>RGB</v>
      </c>
      <c r="I118" s="236">
        <f t="shared" si="30"/>
        <v>8.179953703703717E-3</v>
      </c>
      <c r="J118" s="237">
        <f t="shared" si="31"/>
        <v>1.4753587962963097E-3</v>
      </c>
      <c r="K118" s="31"/>
      <c r="L118" s="231">
        <v>1.9291064814814816E-2</v>
      </c>
      <c r="M118" s="230">
        <v>1.1111111111111099E-2</v>
      </c>
      <c r="N118" s="239"/>
    </row>
    <row r="119" spans="1:15" s="69" customFormat="1" ht="13.7" customHeight="1" x14ac:dyDescent="0.2">
      <c r="A119" s="53">
        <v>108</v>
      </c>
      <c r="B119" s="99">
        <v>184</v>
      </c>
      <c r="C119" s="63" t="str">
        <f t="shared" si="24"/>
        <v>AUT19961024</v>
      </c>
      <c r="D119" s="64" t="str">
        <f t="shared" si="25"/>
        <v>STATTMANN Lukas</v>
      </c>
      <c r="E119" s="65" t="str">
        <f t="shared" si="26"/>
        <v xml:space="preserve">LRV STEIERMARK </v>
      </c>
      <c r="F119" s="66">
        <f t="shared" si="27"/>
        <v>100830</v>
      </c>
      <c r="G119" s="67" t="str">
        <f t="shared" si="28"/>
        <v>JUNIOR</v>
      </c>
      <c r="H119" s="67" t="str">
        <f t="shared" si="29"/>
        <v>LRV</v>
      </c>
      <c r="I119" s="236">
        <f t="shared" si="30"/>
        <v>8.2277083333333126E-3</v>
      </c>
      <c r="J119" s="237">
        <f t="shared" si="31"/>
        <v>1.5231134259259052E-3</v>
      </c>
      <c r="K119" s="31"/>
      <c r="L119" s="231">
        <v>2.3505486111111112E-2</v>
      </c>
      <c r="M119" s="230">
        <v>1.52777777777778E-2</v>
      </c>
      <c r="N119" s="239"/>
    </row>
    <row r="120" spans="1:15" s="69" customFormat="1" ht="13.7" customHeight="1" x14ac:dyDescent="0.2">
      <c r="A120" s="53">
        <v>109</v>
      </c>
      <c r="B120" s="99">
        <v>73</v>
      </c>
      <c r="C120" s="63" t="str">
        <f t="shared" si="24"/>
        <v>SVK19970207</v>
      </c>
      <c r="D120" s="64" t="str">
        <f t="shared" si="25"/>
        <v>GAVENDA Miroslav</v>
      </c>
      <c r="E120" s="65" t="str">
        <f t="shared" si="26"/>
        <v>SLÁVIA ŠG TRENČÍN</v>
      </c>
      <c r="F120" s="66">
        <f t="shared" si="27"/>
        <v>6366</v>
      </c>
      <c r="G120" s="67" t="str">
        <f t="shared" si="28"/>
        <v>JUNIOR*</v>
      </c>
      <c r="H120" s="67" t="str">
        <f t="shared" si="29"/>
        <v>SLA</v>
      </c>
      <c r="I120" s="236">
        <f t="shared" si="30"/>
        <v>8.2578587962963204E-3</v>
      </c>
      <c r="J120" s="237">
        <f t="shared" si="31"/>
        <v>1.553263888888913E-3</v>
      </c>
      <c r="K120" s="31"/>
      <c r="L120" s="231">
        <v>2.4230081018518521E-2</v>
      </c>
      <c r="M120" s="230">
        <v>1.59722222222222E-2</v>
      </c>
      <c r="N120" s="239"/>
    </row>
    <row r="121" spans="1:15" s="69" customFormat="1" ht="13.7" customHeight="1" x14ac:dyDescent="0.2">
      <c r="A121" s="53">
        <v>110</v>
      </c>
      <c r="B121" s="99">
        <v>141</v>
      </c>
      <c r="C121" s="63" t="str">
        <f t="shared" si="24"/>
        <v>CZE19960716</v>
      </c>
      <c r="D121" s="64" t="str">
        <f t="shared" si="25"/>
        <v xml:space="preserve">HYNEK Matouš </v>
      </c>
      <c r="E121" s="65" t="str">
        <f t="shared" si="26"/>
        <v xml:space="preserve">MAPEI CYKLO KAŇKOVSKÝ </v>
      </c>
      <c r="F121" s="66">
        <f t="shared" si="27"/>
        <v>7803</v>
      </c>
      <c r="G121" s="67" t="str">
        <f t="shared" si="28"/>
        <v>JUNIOR</v>
      </c>
      <c r="H121" s="67" t="str">
        <f t="shared" si="29"/>
        <v>MAP</v>
      </c>
      <c r="I121" s="236">
        <f t="shared" si="30"/>
        <v>8.3404745370370438E-3</v>
      </c>
      <c r="J121" s="237">
        <f t="shared" si="31"/>
        <v>1.6358796296296364E-3</v>
      </c>
      <c r="K121" s="31"/>
      <c r="L121" s="231">
        <v>3.1951585648148144E-2</v>
      </c>
      <c r="M121" s="230">
        <v>2.36111111111111E-2</v>
      </c>
      <c r="N121" s="239"/>
    </row>
    <row r="122" spans="1:15" s="69" customFormat="1" ht="13.7" customHeight="1" x14ac:dyDescent="0.2">
      <c r="A122" s="53">
        <v>111</v>
      </c>
      <c r="B122" s="99">
        <v>152</v>
      </c>
      <c r="C122" s="63" t="str">
        <f t="shared" si="24"/>
        <v>CZE19970417</v>
      </c>
      <c r="D122" s="64" t="str">
        <f t="shared" si="25"/>
        <v>KUBEŠ Martin</v>
      </c>
      <c r="E122" s="65" t="str">
        <f t="shared" si="26"/>
        <v>CK DACOM PHARMA KYJOV</v>
      </c>
      <c r="F122" s="66">
        <f t="shared" si="27"/>
        <v>13287</v>
      </c>
      <c r="G122" s="67" t="str">
        <f t="shared" si="28"/>
        <v>JUNIOR*</v>
      </c>
      <c r="H122" s="67" t="str">
        <f t="shared" si="29"/>
        <v>SKC</v>
      </c>
      <c r="I122" s="236">
        <f t="shared" si="30"/>
        <v>8.3940393518518279E-3</v>
      </c>
      <c r="J122" s="237">
        <f t="shared" si="31"/>
        <v>1.6894444444444205E-3</v>
      </c>
      <c r="K122" s="31"/>
      <c r="L122" s="229">
        <v>3.6171817129629628E-2</v>
      </c>
      <c r="M122" s="230">
        <v>2.7777777777777801E-2</v>
      </c>
      <c r="N122" s="239"/>
    </row>
    <row r="123" spans="1:15" s="69" customFormat="1" ht="13.7" customHeight="1" x14ac:dyDescent="0.2">
      <c r="A123" s="53">
        <v>112</v>
      </c>
      <c r="B123" s="99">
        <v>153</v>
      </c>
      <c r="C123" s="63" t="str">
        <f t="shared" si="24"/>
        <v>CZE19960707</v>
      </c>
      <c r="D123" s="64" t="str">
        <f t="shared" si="25"/>
        <v>SAXA Lukáš</v>
      </c>
      <c r="E123" s="65" t="str">
        <f t="shared" si="26"/>
        <v>STEVENS ZNOJMO</v>
      </c>
      <c r="F123" s="66">
        <f t="shared" si="27"/>
        <v>20125</v>
      </c>
      <c r="G123" s="67" t="str">
        <f t="shared" si="28"/>
        <v>JUNIOR</v>
      </c>
      <c r="H123" s="67" t="str">
        <f t="shared" si="29"/>
        <v>SKC</v>
      </c>
      <c r="I123" s="236">
        <f t="shared" si="30"/>
        <v>8.411782407407413E-3</v>
      </c>
      <c r="J123" s="237">
        <f t="shared" si="31"/>
        <v>1.7071875000000056E-3</v>
      </c>
      <c r="K123" s="31"/>
      <c r="L123" s="229">
        <v>1.5356226851851852E-2</v>
      </c>
      <c r="M123" s="230">
        <v>6.9444444444444397E-3</v>
      </c>
      <c r="N123" s="239"/>
    </row>
    <row r="124" spans="1:15" s="69" customFormat="1" ht="13.7" customHeight="1" x14ac:dyDescent="0.2">
      <c r="A124" s="53">
        <v>113</v>
      </c>
      <c r="B124" s="221">
        <v>111</v>
      </c>
      <c r="C124" s="63" t="str">
        <f t="shared" si="24"/>
        <v>GER19960410</v>
      </c>
      <c r="D124" s="64" t="str">
        <f t="shared" si="25"/>
        <v>BECKER Alexander</v>
      </c>
      <c r="E124" s="65" t="str">
        <f t="shared" si="26"/>
        <v>TEAM BRANDENBURG - RSC COTTBUS</v>
      </c>
      <c r="F124" s="66" t="str">
        <f t="shared" si="27"/>
        <v>042439-11</v>
      </c>
      <c r="G124" s="67" t="str">
        <f t="shared" si="28"/>
        <v>JUNIOR</v>
      </c>
      <c r="H124" s="67" t="str">
        <f t="shared" si="29"/>
        <v>COT</v>
      </c>
      <c r="I124" s="236">
        <f t="shared" si="30"/>
        <v>8.4737615740740763E-3</v>
      </c>
      <c r="J124" s="237">
        <f t="shared" si="31"/>
        <v>1.7691666666666689E-3</v>
      </c>
      <c r="K124" s="31"/>
      <c r="L124" s="231">
        <v>8.2084872685185176E-2</v>
      </c>
      <c r="M124" s="230">
        <v>7.3611111111111099E-2</v>
      </c>
      <c r="N124" s="239"/>
    </row>
    <row r="125" spans="1:15" s="69" customFormat="1" ht="13.7" customHeight="1" x14ac:dyDescent="0.2">
      <c r="A125" s="53">
        <v>114</v>
      </c>
      <c r="B125" s="99">
        <v>142</v>
      </c>
      <c r="C125" s="63" t="str">
        <f t="shared" si="24"/>
        <v>CZE19971022</v>
      </c>
      <c r="D125" s="64" t="str">
        <f t="shared" si="25"/>
        <v xml:space="preserve">KLEVETA Jakub </v>
      </c>
      <c r="E125" s="65" t="str">
        <f t="shared" si="26"/>
        <v xml:space="preserve">MAPEI CYKLO KAŇKOVSKÝ </v>
      </c>
      <c r="F125" s="66">
        <f t="shared" si="27"/>
        <v>10284</v>
      </c>
      <c r="G125" s="67" t="str">
        <f t="shared" si="28"/>
        <v>JUNIOR*</v>
      </c>
      <c r="H125" s="67" t="str">
        <f t="shared" si="29"/>
        <v>MAP</v>
      </c>
      <c r="I125" s="236">
        <f t="shared" si="30"/>
        <v>8.4799421296296654E-3</v>
      </c>
      <c r="J125" s="237">
        <f t="shared" si="31"/>
        <v>1.775347222222258E-3</v>
      </c>
      <c r="K125" s="31"/>
      <c r="L125" s="231">
        <v>3.5563275462962965E-2</v>
      </c>
      <c r="M125" s="230">
        <v>2.70833333333333E-2</v>
      </c>
      <c r="N125" s="239"/>
    </row>
    <row r="126" spans="1:15" s="69" customFormat="1" ht="13.7" customHeight="1" x14ac:dyDescent="0.2">
      <c r="A126" s="53">
        <v>115</v>
      </c>
      <c r="B126" s="99">
        <v>47</v>
      </c>
      <c r="C126" s="63" t="str">
        <f t="shared" si="24"/>
        <v>CZE19960509</v>
      </c>
      <c r="D126" s="64" t="str">
        <f t="shared" si="25"/>
        <v xml:space="preserve">PRENĚK Ondřej </v>
      </c>
      <c r="E126" s="65" t="str">
        <f t="shared" si="26"/>
        <v>KC KOOPERATIVA SG JABLONEC N.N</v>
      </c>
      <c r="F126" s="66">
        <f t="shared" si="27"/>
        <v>19279</v>
      </c>
      <c r="G126" s="67" t="str">
        <f t="shared" si="28"/>
        <v>JUNIOR</v>
      </c>
      <c r="H126" s="67" t="str">
        <f t="shared" si="29"/>
        <v>KOO</v>
      </c>
      <c r="I126" s="236">
        <f t="shared" si="30"/>
        <v>8.5619675925925932E-3</v>
      </c>
      <c r="J126" s="237">
        <f t="shared" si="31"/>
        <v>1.8573726851851859E-3</v>
      </c>
      <c r="K126" s="31"/>
      <c r="L126" s="229">
        <v>1.3423078703703704E-2</v>
      </c>
      <c r="M126" s="230">
        <v>4.8611111111111103E-3</v>
      </c>
      <c r="N126" s="239"/>
    </row>
    <row r="127" spans="1:15" s="69" customFormat="1" ht="13.7" customHeight="1" x14ac:dyDescent="0.2">
      <c r="A127" s="53">
        <v>116</v>
      </c>
      <c r="B127" s="99">
        <v>14</v>
      </c>
      <c r="C127" s="63" t="str">
        <f t="shared" si="24"/>
        <v>GER19970806</v>
      </c>
      <c r="D127" s="64" t="str">
        <f t="shared" si="25"/>
        <v>BINAY Noah</v>
      </c>
      <c r="E127" s="65" t="str">
        <f t="shared" si="26"/>
        <v>JUNIOREN SCHWALBE TEAM SACHSEN</v>
      </c>
      <c r="F127" s="66" t="str">
        <f t="shared" si="27"/>
        <v>SAC 142218</v>
      </c>
      <c r="G127" s="67" t="str">
        <f t="shared" si="28"/>
        <v>JUNIOR*</v>
      </c>
      <c r="H127" s="67" t="str">
        <f t="shared" si="29"/>
        <v>SCW</v>
      </c>
      <c r="I127" s="236">
        <f t="shared" si="30"/>
        <v>8.5959027777777544E-3</v>
      </c>
      <c r="J127" s="237">
        <f t="shared" si="31"/>
        <v>1.891307870370347E-3</v>
      </c>
      <c r="K127" s="31"/>
      <c r="L127" s="231">
        <v>4.8873680555555556E-2</v>
      </c>
      <c r="M127" s="230">
        <v>4.0277777777777801E-2</v>
      </c>
      <c r="N127" s="239"/>
    </row>
    <row r="128" spans="1:15" s="69" customFormat="1" ht="13.7" customHeight="1" x14ac:dyDescent="0.2">
      <c r="A128" s="53">
        <v>117</v>
      </c>
      <c r="B128" s="99">
        <v>74</v>
      </c>
      <c r="C128" s="63" t="str">
        <f t="shared" si="24"/>
        <v>SVK19980324</v>
      </c>
      <c r="D128" s="64" t="str">
        <f t="shared" si="25"/>
        <v>KOVÁČ Milan</v>
      </c>
      <c r="E128" s="65" t="str">
        <f t="shared" si="26"/>
        <v>SLÁVIA ŠG TRENČÍN</v>
      </c>
      <c r="F128" s="66">
        <f t="shared" si="27"/>
        <v>5908</v>
      </c>
      <c r="G128" s="67" t="str">
        <f t="shared" si="28"/>
        <v>CADET</v>
      </c>
      <c r="H128" s="67" t="str">
        <f t="shared" si="29"/>
        <v>SLA</v>
      </c>
      <c r="I128" s="236">
        <f t="shared" si="30"/>
        <v>8.6084837962962964E-3</v>
      </c>
      <c r="J128" s="237">
        <f t="shared" si="31"/>
        <v>1.903888888888889E-3</v>
      </c>
      <c r="K128" s="31"/>
      <c r="L128" s="229">
        <v>8.6084837962962964E-3</v>
      </c>
      <c r="M128" s="230">
        <v>0</v>
      </c>
      <c r="N128" s="239"/>
    </row>
    <row r="129" spans="1:14" s="69" customFormat="1" ht="13.7" customHeight="1" x14ac:dyDescent="0.2">
      <c r="A129" s="53"/>
      <c r="B129" s="99">
        <v>32</v>
      </c>
      <c r="C129" s="63" t="str">
        <f t="shared" ref="C129" si="32">VLOOKUP(B129,STARTOVKA,2,0)</f>
        <v>CZE19970916</v>
      </c>
      <c r="D129" s="64" t="str">
        <f t="shared" ref="D129" si="33">VLOOKUP(B129,STARTOVKA,3,0)</f>
        <v xml:space="preserve">KUNT Lukáš </v>
      </c>
      <c r="E129" s="65" t="str">
        <f t="shared" ref="E129" si="34">VLOOKUP(B129,STARTOVKA,4,0)</f>
        <v xml:space="preserve">REMERX - MERIDA TEAM KOLÍN </v>
      </c>
      <c r="F129" s="66">
        <f t="shared" ref="F129" si="35">VLOOKUP(B129,STARTOVKA,5,0)</f>
        <v>14658</v>
      </c>
      <c r="G129" s="67" t="str">
        <f t="shared" ref="G129" si="36">VLOOKUP(B129,STARTOVKA,6,0)</f>
        <v>JUNIOR*</v>
      </c>
      <c r="H129" s="67" t="str">
        <f t="shared" ref="H129" si="37">VLOOKUP(B129,STARTOVKA,7,0)</f>
        <v>REM</v>
      </c>
      <c r="I129" s="236" t="s">
        <v>127</v>
      </c>
      <c r="J129" s="237"/>
      <c r="K129" s="31"/>
      <c r="L129" s="238" t="s">
        <v>127</v>
      </c>
      <c r="M129" s="230">
        <v>2.2222222222222199E-2</v>
      </c>
      <c r="N129" s="239"/>
    </row>
    <row r="130" spans="1:14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  <c r="L130" s="232"/>
      <c r="M130" s="233"/>
      <c r="N130" s="234"/>
    </row>
    <row r="131" spans="1:14" s="5" customFormat="1" x14ac:dyDescent="0.2">
      <c r="L131" s="232"/>
      <c r="M131" s="233"/>
      <c r="N131" s="234"/>
    </row>
    <row r="132" spans="1:14" s="5" customFormat="1" x14ac:dyDescent="0.2">
      <c r="H132" s="166" t="s">
        <v>582</v>
      </c>
      <c r="I132" s="166"/>
      <c r="J132" s="166"/>
      <c r="K132" s="166"/>
      <c r="L132" s="232"/>
      <c r="M132" s="233"/>
      <c r="N132" s="234"/>
    </row>
    <row r="133" spans="1:14" s="5" customFormat="1" x14ac:dyDescent="0.2">
      <c r="L133" s="232"/>
      <c r="M133" s="233"/>
      <c r="N133" s="234"/>
    </row>
    <row r="134" spans="1:14" s="5" customFormat="1" x14ac:dyDescent="0.2">
      <c r="L134" s="232"/>
      <c r="M134" s="233"/>
      <c r="N134" s="234"/>
    </row>
    <row r="135" spans="1:14" s="5" customFormat="1" ht="12.75" customHeight="1" x14ac:dyDescent="0.2">
      <c r="H135" s="259" t="s">
        <v>583</v>
      </c>
      <c r="I135" s="259"/>
      <c r="J135" s="259"/>
      <c r="K135" s="259"/>
      <c r="L135" s="232"/>
      <c r="M135" s="233"/>
      <c r="N135" s="234"/>
    </row>
    <row r="136" spans="1:14" s="5" customFormat="1" x14ac:dyDescent="0.2">
      <c r="H136" s="259"/>
      <c r="I136" s="259"/>
      <c r="J136" s="259"/>
      <c r="K136" s="259"/>
      <c r="L136" s="232"/>
      <c r="M136" s="233"/>
      <c r="N136" s="234"/>
    </row>
    <row r="137" spans="1:14" s="5" customFormat="1" x14ac:dyDescent="0.2">
      <c r="H137" s="259"/>
      <c r="I137" s="259"/>
      <c r="J137" s="259"/>
      <c r="K137" s="259"/>
      <c r="L137" s="232"/>
      <c r="M137" s="233"/>
      <c r="N137" s="234"/>
    </row>
    <row r="138" spans="1:14" s="5" customFormat="1" x14ac:dyDescent="0.2">
      <c r="H138" s="259"/>
      <c r="I138" s="259"/>
      <c r="J138" s="259"/>
      <c r="K138" s="259"/>
      <c r="L138" s="232"/>
      <c r="M138" s="233"/>
      <c r="N138" s="234"/>
    </row>
    <row r="139" spans="1:14" s="5" customFormat="1" x14ac:dyDescent="0.2">
      <c r="H139" s="259"/>
      <c r="I139" s="259"/>
      <c r="J139" s="259"/>
      <c r="K139" s="259"/>
      <c r="L139" s="232"/>
      <c r="M139" s="233"/>
      <c r="N139" s="234"/>
    </row>
    <row r="140" spans="1:14" s="5" customFormat="1" x14ac:dyDescent="0.2">
      <c r="H140" s="259"/>
      <c r="I140" s="259"/>
      <c r="J140" s="259"/>
      <c r="K140" s="259"/>
      <c r="L140" s="235"/>
      <c r="M140" s="233"/>
      <c r="N140" s="234"/>
    </row>
    <row r="141" spans="1:14" s="5" customFormat="1" x14ac:dyDescent="0.2">
      <c r="H141" s="259"/>
      <c r="I141" s="259"/>
      <c r="J141" s="259"/>
      <c r="K141" s="259"/>
      <c r="L141" s="232"/>
      <c r="M141" s="233"/>
      <c r="N141" s="234"/>
    </row>
    <row r="142" spans="1:14" s="5" customFormat="1" x14ac:dyDescent="0.2">
      <c r="H142" s="223"/>
      <c r="I142" s="223"/>
      <c r="J142" s="223"/>
      <c r="K142" s="223"/>
      <c r="L142" s="232"/>
      <c r="M142" s="233"/>
      <c r="N142" s="234"/>
    </row>
    <row r="143" spans="1:14" s="5" customFormat="1" x14ac:dyDescent="0.2">
      <c r="H143" s="259" t="s">
        <v>584</v>
      </c>
      <c r="I143" s="259"/>
      <c r="J143" s="259"/>
      <c r="K143" s="259"/>
      <c r="L143" s="232"/>
      <c r="M143" s="233"/>
      <c r="N143" s="234"/>
    </row>
    <row r="144" spans="1:14" s="5" customFormat="1" x14ac:dyDescent="0.2">
      <c r="H144" s="259"/>
      <c r="I144" s="259"/>
      <c r="J144" s="259"/>
      <c r="K144" s="259"/>
      <c r="L144" s="232"/>
      <c r="M144" s="233"/>
      <c r="N144" s="234"/>
    </row>
    <row r="145" spans="8:14" s="5" customFormat="1" x14ac:dyDescent="0.2">
      <c r="H145" s="259"/>
      <c r="I145" s="259"/>
      <c r="J145" s="259"/>
      <c r="K145" s="259"/>
      <c r="L145" s="232"/>
      <c r="M145" s="233"/>
      <c r="N145" s="234"/>
    </row>
    <row r="146" spans="8:14" s="5" customFormat="1" x14ac:dyDescent="0.2">
      <c r="H146" s="259"/>
      <c r="I146" s="259"/>
      <c r="J146" s="259"/>
      <c r="K146" s="259"/>
      <c r="L146" s="235"/>
      <c r="M146" s="233"/>
      <c r="N146" s="234"/>
    </row>
    <row r="147" spans="8:14" s="5" customFormat="1" x14ac:dyDescent="0.2">
      <c r="H147" s="259"/>
      <c r="I147" s="259"/>
      <c r="J147" s="259"/>
      <c r="K147" s="259"/>
      <c r="L147" s="232"/>
      <c r="M147" s="233"/>
      <c r="N147" s="234"/>
    </row>
    <row r="148" spans="8:14" s="5" customFormat="1" x14ac:dyDescent="0.2">
      <c r="H148" s="259"/>
      <c r="I148" s="259"/>
      <c r="J148" s="259"/>
      <c r="K148" s="259"/>
      <c r="L148" s="232"/>
      <c r="M148" s="233"/>
      <c r="N148" s="234"/>
    </row>
    <row r="149" spans="8:14" s="5" customFormat="1" x14ac:dyDescent="0.2">
      <c r="H149" s="259"/>
      <c r="I149" s="259"/>
      <c r="J149" s="259"/>
      <c r="K149" s="259"/>
      <c r="L149" s="235"/>
      <c r="M149" s="233"/>
      <c r="N149" s="234"/>
    </row>
    <row r="150" spans="8:14" s="5" customFormat="1" ht="12.75" customHeight="1" x14ac:dyDescent="0.2">
      <c r="H150" s="223"/>
      <c r="I150" s="223"/>
      <c r="J150" s="223"/>
      <c r="K150" s="223"/>
      <c r="L150" s="232"/>
      <c r="M150" s="233"/>
      <c r="N150" s="234"/>
    </row>
    <row r="151" spans="8:14" s="5" customFormat="1" x14ac:dyDescent="0.2">
      <c r="H151" s="223"/>
      <c r="I151" s="223"/>
      <c r="J151" s="223"/>
      <c r="K151" s="223"/>
      <c r="L151" s="235"/>
      <c r="M151" s="233"/>
      <c r="N151" s="234"/>
    </row>
    <row r="152" spans="8:14" s="5" customFormat="1" x14ac:dyDescent="0.2">
      <c r="H152" s="223"/>
      <c r="I152" s="223"/>
      <c r="J152" s="223"/>
      <c r="K152" s="223"/>
      <c r="L152" s="232"/>
      <c r="M152" s="233"/>
      <c r="N152" s="234"/>
    </row>
    <row r="153" spans="8:14" s="5" customFormat="1" x14ac:dyDescent="0.2">
      <c r="H153" s="223"/>
      <c r="I153" s="223"/>
      <c r="J153" s="223"/>
      <c r="K153" s="223"/>
      <c r="L153" s="235"/>
      <c r="M153" s="233"/>
      <c r="N153" s="234"/>
    </row>
    <row r="154" spans="8:14" s="5" customFormat="1" x14ac:dyDescent="0.2">
      <c r="H154" s="223"/>
      <c r="I154" s="223"/>
      <c r="J154" s="223"/>
      <c r="K154" s="223"/>
      <c r="L154" s="232"/>
      <c r="M154" s="233"/>
      <c r="N154" s="234"/>
    </row>
    <row r="155" spans="8:14" s="5" customFormat="1" x14ac:dyDescent="0.2">
      <c r="H155" s="223"/>
      <c r="I155" s="223"/>
      <c r="J155" s="223"/>
      <c r="K155" s="223"/>
      <c r="L155" s="232"/>
      <c r="M155" s="233"/>
      <c r="N155" s="234"/>
    </row>
    <row r="156" spans="8:14" s="5" customFormat="1" x14ac:dyDescent="0.2">
      <c r="H156" s="223"/>
      <c r="I156" s="223"/>
      <c r="J156" s="223"/>
      <c r="K156" s="223"/>
      <c r="L156" s="235"/>
      <c r="M156" s="233"/>
      <c r="N156" s="234"/>
    </row>
    <row r="157" spans="8:14" s="5" customFormat="1" x14ac:dyDescent="0.2">
      <c r="H157" s="223"/>
      <c r="I157" s="223"/>
      <c r="J157" s="223"/>
      <c r="K157" s="223"/>
      <c r="L157" s="232"/>
      <c r="M157" s="233"/>
      <c r="N157" s="234"/>
    </row>
    <row r="158" spans="8:14" s="5" customFormat="1" x14ac:dyDescent="0.2">
      <c r="H158" s="223"/>
      <c r="I158" s="223"/>
      <c r="J158" s="223"/>
      <c r="K158" s="223"/>
    </row>
    <row r="159" spans="8:14" s="5" customFormat="1" x14ac:dyDescent="0.2">
      <c r="H159" s="223"/>
      <c r="I159" s="223"/>
      <c r="J159" s="223"/>
      <c r="K159" s="223"/>
    </row>
    <row r="160" spans="8:14" s="5" customFormat="1" x14ac:dyDescent="0.2">
      <c r="H160" s="223"/>
      <c r="I160" s="223"/>
      <c r="J160" s="223"/>
      <c r="K160" s="223"/>
    </row>
    <row r="161" spans="1:11" s="5" customFormat="1" x14ac:dyDescent="0.2">
      <c r="H161" s="223"/>
      <c r="I161" s="223"/>
      <c r="J161" s="223"/>
      <c r="K161" s="223"/>
    </row>
    <row r="162" spans="1:11" s="5" customFormat="1" x14ac:dyDescent="0.2">
      <c r="H162" s="223"/>
      <c r="I162" s="223"/>
      <c r="J162" s="223"/>
      <c r="K162" s="223"/>
    </row>
    <row r="163" spans="1:11" s="5" customFormat="1" x14ac:dyDescent="0.2"/>
    <row r="164" spans="1:11" s="5" customFormat="1" x14ac:dyDescent="0.2"/>
    <row r="165" spans="1:11" s="5" customFormat="1" x14ac:dyDescent="0.2"/>
    <row r="166" spans="1:11" s="5" customFormat="1" x14ac:dyDescent="0.2"/>
    <row r="167" spans="1:11" s="5" customFormat="1" x14ac:dyDescent="0.2"/>
    <row r="168" spans="1:11" s="5" customFormat="1" x14ac:dyDescent="0.2"/>
    <row r="169" spans="1:11" s="5" customFormat="1" x14ac:dyDescent="0.2"/>
    <row r="170" spans="1:11" s="5" customFormat="1" x14ac:dyDescent="0.2"/>
    <row r="171" spans="1:11" s="5" customFormat="1" x14ac:dyDescent="0.2"/>
    <row r="172" spans="1:11" s="5" customFormat="1" x14ac:dyDescent="0.2"/>
    <row r="173" spans="1:11" s="5" customFormat="1" x14ac:dyDescent="0.2"/>
    <row r="175" spans="1:11" ht="6" customHeight="1" x14ac:dyDescent="0.2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</row>
    <row r="176" spans="1:11" x14ac:dyDescent="0.2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255" t="s">
        <v>44</v>
      </c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</row>
  </sheetData>
  <sortState ref="B12:N128">
    <sortCondition ref="I12:I128"/>
  </sortState>
  <mergeCells count="7">
    <mergeCell ref="A186:K186"/>
    <mergeCell ref="A1:K1"/>
    <mergeCell ref="A2:K2"/>
    <mergeCell ref="D3:H3"/>
    <mergeCell ref="A5:K5"/>
    <mergeCell ref="H135:K141"/>
    <mergeCell ref="H143:K149"/>
  </mergeCells>
  <conditionalFormatting sqref="K12:K129">
    <cfRule type="cellIs" dxfId="9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customWidth="1" outlineLevel="1"/>
    <col min="15" max="15" width="4.140625" customWidth="1" outlineLevel="1"/>
    <col min="16" max="16" width="6.42578125" customWidth="1" outlineLevel="1"/>
    <col min="17" max="17" width="5.85546875" customWidth="1" outlineLevel="1"/>
    <col min="18" max="19" width="8.85546875" customWidth="1" outlineLevel="1"/>
    <col min="20" max="20" width="6.42578125" customWidth="1" outlineLevel="1"/>
    <col min="21" max="21" width="5.85546875" customWidth="1" outlineLevel="1"/>
    <col min="22" max="23" width="8.85546875" customWidth="1" outlineLevel="1"/>
    <col min="24" max="24" width="6.42578125" customWidth="1" outlineLevel="1"/>
    <col min="25" max="25" width="5.85546875" customWidth="1" outlineLevel="1"/>
    <col min="26" max="27" width="8.85546875" customWidth="1" outlineLevel="1"/>
    <col min="28" max="28" width="6.42578125" customWidth="1" outlineLevel="1"/>
    <col min="29" max="29" width="5.85546875" customWidth="1" outlineLevel="1"/>
    <col min="30" max="32" width="8.85546875" customWidth="1" outlineLevel="1"/>
  </cols>
  <sheetData>
    <row r="1" spans="1:33" s="20" customFormat="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251" t="str">
        <f>CTRL!B23</f>
        <v>po 2. etapě / after 2nd Stage</v>
      </c>
      <c r="E3" s="251"/>
      <c r="F3" s="251"/>
      <c r="G3" s="251"/>
      <c r="H3" s="251"/>
      <c r="I3" s="49"/>
      <c r="K3" s="2" t="str">
        <f>"Com.no.: 13/" &amp; CTRL!B27</f>
        <v>Com.no.: 13/31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M10" s="146"/>
      <c r="N10" s="146"/>
      <c r="P10" s="266" t="s">
        <v>19</v>
      </c>
      <c r="Q10" s="266"/>
      <c r="R10" s="266"/>
      <c r="S10" s="266"/>
      <c r="T10" s="265" t="s">
        <v>18</v>
      </c>
      <c r="U10" s="265"/>
      <c r="V10" s="265"/>
      <c r="W10" s="265"/>
      <c r="X10" s="266" t="s">
        <v>17</v>
      </c>
      <c r="Y10" s="266"/>
      <c r="Z10" s="266"/>
      <c r="AA10" s="266"/>
      <c r="AB10" s="265" t="s">
        <v>16</v>
      </c>
      <c r="AC10" s="265"/>
      <c r="AD10" s="265"/>
      <c r="AE10" s="265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CTRL!C3&amp; " km"</f>
        <v>Délka / Distance: 84,5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ROUND(CTRL!C3/(HOUR($I$12)+(MINUTE($I$12)+SECOND($I$12)/60)/60),2) &amp; " km/h"</f>
        <v>Průměrná rychlost / Average Speed: 41,66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8.4517094907407414E-2</v>
      </c>
      <c r="J12" s="31">
        <f t="shared" ref="J12:J43" si="7">I12-$I$12</f>
        <v>0</v>
      </c>
      <c r="K12" s="31"/>
      <c r="M12" s="308">
        <f>B12</f>
        <v>116</v>
      </c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40">
        <v>6.7045949074074074E-3</v>
      </c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 t="shared" si="0"/>
        <v>GER19960829</v>
      </c>
      <c r="D13" s="64" t="str">
        <f t="shared" si="1"/>
        <v>SCHUCHMANN Franz-Leon</v>
      </c>
      <c r="E13" s="65" t="str">
        <f t="shared" si="2"/>
        <v>RSV SONNEBERG</v>
      </c>
      <c r="F13" s="66" t="str">
        <f t="shared" si="3"/>
        <v>THÜ173330</v>
      </c>
      <c r="G13" s="67" t="str">
        <f t="shared" si="4"/>
        <v>JUNIOR</v>
      </c>
      <c r="H13" s="67" t="str">
        <f t="shared" si="5"/>
        <v>TUR</v>
      </c>
      <c r="I13" s="199">
        <f t="shared" si="6"/>
        <v>8.5025474537037002E-2</v>
      </c>
      <c r="J13" s="31">
        <f t="shared" si="7"/>
        <v>5.0837962962958783E-4</v>
      </c>
      <c r="K13" s="31"/>
      <c r="M13" s="308">
        <f t="shared" ref="M13:M76" si="8">B13</f>
        <v>2</v>
      </c>
      <c r="P13" s="36">
        <v>2</v>
      </c>
      <c r="Q13" s="43">
        <v>2</v>
      </c>
      <c r="R13" s="41">
        <v>7.8067129629629625E-2</v>
      </c>
      <c r="S13" s="35">
        <v>6.9444444444444444E-5</v>
      </c>
      <c r="T13" s="37">
        <v>14</v>
      </c>
      <c r="U13" s="44">
        <v>2</v>
      </c>
      <c r="V13" s="240">
        <v>7.0277893518518181E-3</v>
      </c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115</v>
      </c>
      <c r="C14" s="63" t="str">
        <f t="shared" si="0"/>
        <v>GER19961029</v>
      </c>
      <c r="D14" s="64" t="str">
        <f t="shared" si="1"/>
        <v>KOCH Chrisitan</v>
      </c>
      <c r="E14" s="65" t="str">
        <f t="shared" si="2"/>
        <v>TEAM BRANDENBURG - RSC COTTBUS</v>
      </c>
      <c r="F14" s="66" t="str">
        <f t="shared" si="3"/>
        <v>043833-11</v>
      </c>
      <c r="G14" s="67" t="str">
        <f t="shared" si="4"/>
        <v>JUNIOR</v>
      </c>
      <c r="H14" s="67" t="str">
        <f t="shared" si="5"/>
        <v>COT</v>
      </c>
      <c r="I14" s="199">
        <f t="shared" si="6"/>
        <v>8.5049074074074069E-2</v>
      </c>
      <c r="J14" s="31">
        <f t="shared" si="7"/>
        <v>5.3197916666665457E-4</v>
      </c>
      <c r="K14" s="31"/>
      <c r="M14" s="308">
        <f t="shared" si="8"/>
        <v>115</v>
      </c>
      <c r="P14" s="36">
        <v>33</v>
      </c>
      <c r="Q14" s="43">
        <v>115</v>
      </c>
      <c r="R14" s="41">
        <v>7.8287037037037044E-2</v>
      </c>
      <c r="S14" s="35">
        <v>2.3148148148148147E-5</v>
      </c>
      <c r="T14" s="37">
        <v>2</v>
      </c>
      <c r="U14" s="44">
        <v>115</v>
      </c>
      <c r="V14" s="240">
        <v>6.7851851851851719E-3</v>
      </c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182</v>
      </c>
      <c r="C15" s="63" t="str">
        <f t="shared" si="0"/>
        <v>AUT19960709</v>
      </c>
      <c r="D15" s="64" t="str">
        <f t="shared" si="1"/>
        <v>KOPFAUF Markus</v>
      </c>
      <c r="E15" s="65" t="str">
        <f t="shared" si="2"/>
        <v xml:space="preserve">LRV STEIERMARK </v>
      </c>
      <c r="F15" s="66">
        <f t="shared" si="3"/>
        <v>100827</v>
      </c>
      <c r="G15" s="67" t="str">
        <f t="shared" si="4"/>
        <v>JUNIOR</v>
      </c>
      <c r="H15" s="67" t="str">
        <f t="shared" si="5"/>
        <v>LRV</v>
      </c>
      <c r="I15" s="199">
        <f t="shared" si="6"/>
        <v>8.5079918981481456E-2</v>
      </c>
      <c r="J15" s="31">
        <f t="shared" si="7"/>
        <v>5.62824074074042E-4</v>
      </c>
      <c r="K15" s="31"/>
      <c r="M15" s="308">
        <f t="shared" si="8"/>
        <v>182</v>
      </c>
      <c r="P15" s="36">
        <v>8</v>
      </c>
      <c r="Q15" s="43">
        <v>182</v>
      </c>
      <c r="R15" s="41">
        <v>7.8287037037037044E-2</v>
      </c>
      <c r="S15" s="35">
        <v>0</v>
      </c>
      <c r="T15" s="37">
        <v>3</v>
      </c>
      <c r="U15" s="44">
        <v>182</v>
      </c>
      <c r="V15" s="240">
        <v>6.7928819444444122E-3</v>
      </c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143</v>
      </c>
      <c r="C16" s="63" t="str">
        <f t="shared" si="0"/>
        <v>CZE19960606</v>
      </c>
      <c r="D16" s="64" t="str">
        <f t="shared" si="1"/>
        <v xml:space="preserve">KOVÁŘ Jan </v>
      </c>
      <c r="E16" s="65" t="str">
        <f t="shared" si="2"/>
        <v xml:space="preserve">MAPEI CYKLO KAŇKOVSKÝ </v>
      </c>
      <c r="F16" s="66">
        <f t="shared" si="3"/>
        <v>12418</v>
      </c>
      <c r="G16" s="67" t="str">
        <f t="shared" si="4"/>
        <v>JUNIOR</v>
      </c>
      <c r="H16" s="67" t="str">
        <f t="shared" si="5"/>
        <v>MAP</v>
      </c>
      <c r="I16" s="199">
        <f t="shared" si="6"/>
        <v>8.5104918981481481E-2</v>
      </c>
      <c r="J16" s="31">
        <f t="shared" si="7"/>
        <v>5.87824074074067E-4</v>
      </c>
      <c r="K16" s="31"/>
      <c r="M16" s="308">
        <f t="shared" si="8"/>
        <v>143</v>
      </c>
      <c r="P16" s="36">
        <v>3</v>
      </c>
      <c r="Q16" s="43">
        <v>143</v>
      </c>
      <c r="R16" s="41">
        <v>7.8067129629629625E-2</v>
      </c>
      <c r="S16" s="35">
        <v>4.6296296296296294E-5</v>
      </c>
      <c r="T16" s="37">
        <v>18</v>
      </c>
      <c r="U16" s="44">
        <v>143</v>
      </c>
      <c r="V16" s="240">
        <v>7.0840856481481501E-3</v>
      </c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117</v>
      </c>
      <c r="C17" s="63" t="str">
        <f t="shared" si="0"/>
        <v>GER19971022</v>
      </c>
      <c r="D17" s="64" t="str">
        <f t="shared" si="1"/>
        <v>KANTER Max</v>
      </c>
      <c r="E17" s="65" t="str">
        <f t="shared" si="2"/>
        <v>TEAM BRANDENBURG - RSC COTTBUS</v>
      </c>
      <c r="F17" s="66" t="str">
        <f t="shared" si="3"/>
        <v>044005-11</v>
      </c>
      <c r="G17" s="67" t="str">
        <f t="shared" si="4"/>
        <v>JUNIOR*</v>
      </c>
      <c r="H17" s="67" t="str">
        <f t="shared" si="5"/>
        <v>COT</v>
      </c>
      <c r="I17" s="199">
        <f t="shared" si="6"/>
        <v>8.517785879629633E-2</v>
      </c>
      <c r="J17" s="31">
        <f t="shared" si="7"/>
        <v>6.6076388888891557E-4</v>
      </c>
      <c r="K17" s="31"/>
      <c r="M17" s="308">
        <f t="shared" si="8"/>
        <v>117</v>
      </c>
      <c r="P17" s="36">
        <v>9</v>
      </c>
      <c r="Q17" s="43">
        <v>117</v>
      </c>
      <c r="R17" s="41">
        <v>7.8287037037037044E-2</v>
      </c>
      <c r="S17" s="35">
        <v>0</v>
      </c>
      <c r="T17" s="37">
        <v>4</v>
      </c>
      <c r="U17" s="44">
        <v>117</v>
      </c>
      <c r="V17" s="240">
        <v>6.8908217592592858E-3</v>
      </c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45</v>
      </c>
      <c r="C18" s="63" t="str">
        <f t="shared" si="0"/>
        <v>CZE19960630</v>
      </c>
      <c r="D18" s="64" t="str">
        <f t="shared" si="1"/>
        <v xml:space="preserve">LEHKÝ Roman </v>
      </c>
      <c r="E18" s="65" t="str">
        <f t="shared" si="2"/>
        <v>KC KOOPERATIVA SG JABLONEC N.N</v>
      </c>
      <c r="F18" s="66">
        <f t="shared" si="3"/>
        <v>9859</v>
      </c>
      <c r="G18" s="67" t="str">
        <f t="shared" si="4"/>
        <v>JUNIOR</v>
      </c>
      <c r="H18" s="67" t="str">
        <f t="shared" si="5"/>
        <v>KOO</v>
      </c>
      <c r="I18" s="199">
        <f t="shared" si="6"/>
        <v>8.5213599537037013E-2</v>
      </c>
      <c r="J18" s="31">
        <f t="shared" si="7"/>
        <v>6.9650462962959903E-4</v>
      </c>
      <c r="K18" s="31"/>
      <c r="M18" s="308">
        <f t="shared" si="8"/>
        <v>45</v>
      </c>
      <c r="P18" s="36">
        <v>48</v>
      </c>
      <c r="Q18" s="43">
        <v>45</v>
      </c>
      <c r="R18" s="41">
        <v>7.8287037037037044E-2</v>
      </c>
      <c r="S18" s="35">
        <v>0</v>
      </c>
      <c r="T18" s="37">
        <v>5</v>
      </c>
      <c r="U18" s="44">
        <v>45</v>
      </c>
      <c r="V18" s="240">
        <v>6.9265624999999692E-3</v>
      </c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62</v>
      </c>
      <c r="C19" s="63" t="str">
        <f t="shared" si="0"/>
        <v>POL19970228</v>
      </c>
      <c r="D19" s="64" t="str">
        <f t="shared" si="1"/>
        <v>SKIBIŃSKI Krzysztof</v>
      </c>
      <c r="E19" s="65" t="str">
        <f t="shared" si="2"/>
        <v xml:space="preserve">DSR AUTHOR GÓRNIK WAŁBRZYCH </v>
      </c>
      <c r="F19" s="66" t="str">
        <f t="shared" si="3"/>
        <v>DLS161</v>
      </c>
      <c r="G19" s="67" t="str">
        <f t="shared" si="4"/>
        <v>JUNIOR*</v>
      </c>
      <c r="H19" s="67" t="str">
        <f t="shared" si="5"/>
        <v>GOR</v>
      </c>
      <c r="I19" s="199">
        <f t="shared" si="6"/>
        <v>8.5214537037037019E-2</v>
      </c>
      <c r="J19" s="31">
        <f t="shared" si="7"/>
        <v>6.9744212962960517E-4</v>
      </c>
      <c r="K19" s="31"/>
      <c r="M19" s="308">
        <f t="shared" si="8"/>
        <v>62</v>
      </c>
      <c r="P19" s="36">
        <v>43</v>
      </c>
      <c r="Q19" s="43">
        <v>62</v>
      </c>
      <c r="R19" s="41">
        <v>7.8287037037037044E-2</v>
      </c>
      <c r="S19" s="35">
        <v>0</v>
      </c>
      <c r="T19" s="37">
        <v>6</v>
      </c>
      <c r="U19" s="44">
        <v>62</v>
      </c>
      <c r="V19" s="240">
        <v>6.9274999999999823E-3</v>
      </c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175</v>
      </c>
      <c r="C20" s="63" t="str">
        <f t="shared" si="0"/>
        <v>SVK19960415</v>
      </c>
      <c r="D20" s="64" t="str">
        <f t="shared" si="1"/>
        <v>ZVERKO David</v>
      </c>
      <c r="E20" s="65" t="str">
        <f t="shared" si="2"/>
        <v xml:space="preserve">SLOVAK CYCLING FEDERATION </v>
      </c>
      <c r="F20" s="66">
        <f t="shared" si="3"/>
        <v>5674</v>
      </c>
      <c r="G20" s="67" t="str">
        <f t="shared" si="4"/>
        <v>JUNIOR</v>
      </c>
      <c r="H20" s="67" t="str">
        <f t="shared" si="5"/>
        <v>SVK</v>
      </c>
      <c r="I20" s="199">
        <f t="shared" si="6"/>
        <v>8.5214988425925967E-2</v>
      </c>
      <c r="J20" s="31">
        <f t="shared" si="7"/>
        <v>6.9789351851855252E-4</v>
      </c>
      <c r="K20" s="31"/>
      <c r="M20" s="308">
        <f t="shared" si="8"/>
        <v>175</v>
      </c>
      <c r="P20" s="36">
        <v>16</v>
      </c>
      <c r="Q20" s="43">
        <v>175</v>
      </c>
      <c r="R20" s="41">
        <v>7.8287037037037044E-2</v>
      </c>
      <c r="S20" s="35">
        <v>3.4722222222222222E-5</v>
      </c>
      <c r="T20" s="37">
        <v>8</v>
      </c>
      <c r="U20" s="44">
        <v>175</v>
      </c>
      <c r="V20" s="240">
        <v>6.9626736111111504E-3</v>
      </c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146</v>
      </c>
      <c r="C21" s="63" t="str">
        <f t="shared" si="0"/>
        <v>CZE19980130</v>
      </c>
      <c r="D21" s="64" t="str">
        <f t="shared" si="1"/>
        <v xml:space="preserve">OTRUBA Jakub </v>
      </c>
      <c r="E21" s="65" t="str">
        <f t="shared" si="2"/>
        <v xml:space="preserve">MAPEI CYKLO KAŇKOVSKÝ </v>
      </c>
      <c r="F21" s="66">
        <f t="shared" si="3"/>
        <v>19627</v>
      </c>
      <c r="G21" s="67" t="str">
        <f t="shared" si="4"/>
        <v>CADET</v>
      </c>
      <c r="H21" s="67" t="str">
        <f t="shared" si="5"/>
        <v>MAP</v>
      </c>
      <c r="I21" s="199">
        <f t="shared" si="6"/>
        <v>8.522692129629636E-2</v>
      </c>
      <c r="J21" s="31">
        <f t="shared" si="7"/>
        <v>7.0982638888894556E-4</v>
      </c>
      <c r="K21" s="31"/>
      <c r="M21" s="308">
        <f t="shared" si="8"/>
        <v>146</v>
      </c>
      <c r="P21" s="36">
        <v>53</v>
      </c>
      <c r="Q21" s="43">
        <v>146</v>
      </c>
      <c r="R21" s="41">
        <v>7.8287037037037044E-2</v>
      </c>
      <c r="S21" s="35">
        <v>0</v>
      </c>
      <c r="T21" s="37">
        <v>7</v>
      </c>
      <c r="U21" s="44">
        <v>146</v>
      </c>
      <c r="V21" s="240">
        <v>6.9398842592593088E-3</v>
      </c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7</v>
      </c>
      <c r="C22" s="63" t="str">
        <f t="shared" si="0"/>
        <v>GER19970419</v>
      </c>
      <c r="D22" s="64" t="str">
        <f t="shared" si="1"/>
        <v>BURCHARDT Karl</v>
      </c>
      <c r="E22" s="65" t="str">
        <f t="shared" si="2"/>
        <v>RSC TURBINE ERFURT</v>
      </c>
      <c r="F22" s="66" t="str">
        <f t="shared" si="3"/>
        <v>THÜ173418</v>
      </c>
      <c r="G22" s="67" t="str">
        <f t="shared" si="4"/>
        <v>JUNIOR*</v>
      </c>
      <c r="H22" s="67" t="str">
        <f t="shared" si="5"/>
        <v>TUR</v>
      </c>
      <c r="I22" s="199">
        <f t="shared" si="6"/>
        <v>8.5261493055555596E-2</v>
      </c>
      <c r="J22" s="31">
        <f t="shared" si="7"/>
        <v>7.443981481481815E-4</v>
      </c>
      <c r="K22" s="31"/>
      <c r="M22" s="308">
        <f t="shared" si="8"/>
        <v>7</v>
      </c>
      <c r="P22" s="36">
        <v>14</v>
      </c>
      <c r="Q22" s="43">
        <v>7</v>
      </c>
      <c r="R22" s="41">
        <v>7.8287037037037044E-2</v>
      </c>
      <c r="S22" s="35">
        <v>0</v>
      </c>
      <c r="T22" s="37">
        <v>9</v>
      </c>
      <c r="U22" s="44">
        <v>7</v>
      </c>
      <c r="V22" s="240">
        <v>6.9744560185185517E-3</v>
      </c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166</v>
      </c>
      <c r="C23" s="63" t="str">
        <f t="shared" si="0"/>
        <v>RUS19960101</v>
      </c>
      <c r="D23" s="64" t="str">
        <f t="shared" si="1"/>
        <v xml:space="preserve">BEZDENEZHNYKH Vadim </v>
      </c>
      <c r="E23" s="65" t="str">
        <f t="shared" si="2"/>
        <v>RUSSIAN CYCLING FEDERATION</v>
      </c>
      <c r="F23" s="66" t="str">
        <f t="shared" si="3"/>
        <v>B0271</v>
      </c>
      <c r="G23" s="67" t="str">
        <f t="shared" si="4"/>
        <v>JUNIOR</v>
      </c>
      <c r="H23" s="67" t="str">
        <f t="shared" si="5"/>
        <v>RUS</v>
      </c>
      <c r="I23" s="199">
        <f t="shared" si="6"/>
        <v>8.5265381944444413E-2</v>
      </c>
      <c r="J23" s="31">
        <f t="shared" si="7"/>
        <v>7.4828703703699873E-4</v>
      </c>
      <c r="K23" s="31"/>
      <c r="M23" s="308">
        <f t="shared" si="8"/>
        <v>166</v>
      </c>
      <c r="P23" s="36">
        <v>26</v>
      </c>
      <c r="Q23" s="43">
        <v>166</v>
      </c>
      <c r="R23" s="41">
        <v>7.8287037037037044E-2</v>
      </c>
      <c r="S23" s="35">
        <v>0</v>
      </c>
      <c r="T23" s="37">
        <v>10</v>
      </c>
      <c r="U23" s="44">
        <v>166</v>
      </c>
      <c r="V23" s="240">
        <v>6.9783449074073689E-3</v>
      </c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164</v>
      </c>
      <c r="C24" s="63" t="str">
        <f t="shared" si="0"/>
        <v>RUS19970224</v>
      </c>
      <c r="D24" s="64" t="str">
        <f t="shared" si="1"/>
        <v>RIKUNOV Petr</v>
      </c>
      <c r="E24" s="65" t="str">
        <f t="shared" si="2"/>
        <v>RUSSIAN CYCLING FEDERATION</v>
      </c>
      <c r="F24" s="66" t="str">
        <f t="shared" si="3"/>
        <v>B0273</v>
      </c>
      <c r="G24" s="67" t="str">
        <f t="shared" si="4"/>
        <v>JUNIOR*</v>
      </c>
      <c r="H24" s="67" t="str">
        <f t="shared" si="5"/>
        <v>RUS</v>
      </c>
      <c r="I24" s="199">
        <f t="shared" si="6"/>
        <v>8.5282511574074071E-2</v>
      </c>
      <c r="J24" s="31">
        <f t="shared" si="7"/>
        <v>7.6541666666665731E-4</v>
      </c>
      <c r="K24" s="31"/>
      <c r="M24" s="308">
        <f t="shared" si="8"/>
        <v>164</v>
      </c>
      <c r="P24" s="36">
        <v>63</v>
      </c>
      <c r="Q24" s="43">
        <v>164</v>
      </c>
      <c r="R24" s="41">
        <v>7.8287037037037044E-2</v>
      </c>
      <c r="S24" s="35">
        <v>0</v>
      </c>
      <c r="T24" s="37">
        <v>11</v>
      </c>
      <c r="U24" s="44">
        <v>164</v>
      </c>
      <c r="V24" s="240">
        <v>6.9954745370370344E-3</v>
      </c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21</v>
      </c>
      <c r="C25" s="63" t="str">
        <f t="shared" si="0"/>
        <v>GER19960322</v>
      </c>
      <c r="D25" s="64" t="str">
        <f t="shared" si="1"/>
        <v>DICKEL Jorge</v>
      </c>
      <c r="E25" s="65" t="str">
        <f t="shared" si="2"/>
        <v>RG BERLIN</v>
      </c>
      <c r="F25" s="66" t="str">
        <f t="shared" si="3"/>
        <v>03.15928.12</v>
      </c>
      <c r="G25" s="67" t="str">
        <f t="shared" si="4"/>
        <v>JUNIOR</v>
      </c>
      <c r="H25" s="67" t="str">
        <f t="shared" si="5"/>
        <v>RGB</v>
      </c>
      <c r="I25" s="199">
        <f t="shared" si="6"/>
        <v>8.5286643518518543E-2</v>
      </c>
      <c r="J25" s="31">
        <f t="shared" si="7"/>
        <v>7.6954861111112882E-4</v>
      </c>
      <c r="K25" s="31"/>
      <c r="M25" s="308">
        <f t="shared" si="8"/>
        <v>21</v>
      </c>
      <c r="P25" s="36">
        <v>77</v>
      </c>
      <c r="Q25" s="43">
        <v>21</v>
      </c>
      <c r="R25" s="41">
        <v>7.8287037037037044E-2</v>
      </c>
      <c r="S25" s="35">
        <v>0</v>
      </c>
      <c r="T25" s="37">
        <v>12</v>
      </c>
      <c r="U25" s="44">
        <v>21</v>
      </c>
      <c r="V25" s="240">
        <v>6.9996064814815025E-3</v>
      </c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4</v>
      </c>
      <c r="C26" s="63" t="str">
        <f t="shared" si="0"/>
        <v>GER19960212</v>
      </c>
      <c r="D26" s="64" t="str">
        <f t="shared" si="1"/>
        <v>SCHUBERT Erik</v>
      </c>
      <c r="E26" s="65" t="str">
        <f t="shared" si="2"/>
        <v>RV ELXLEBEN</v>
      </c>
      <c r="F26" s="66" t="str">
        <f t="shared" si="3"/>
        <v>THÜ170276</v>
      </c>
      <c r="G26" s="67" t="str">
        <f t="shared" si="4"/>
        <v>JUNIOR</v>
      </c>
      <c r="H26" s="67" t="str">
        <f t="shared" si="5"/>
        <v>TUR</v>
      </c>
      <c r="I26" s="199">
        <f t="shared" si="6"/>
        <v>8.5304942129629593E-2</v>
      </c>
      <c r="J26" s="31">
        <f t="shared" si="7"/>
        <v>7.878472222221794E-4</v>
      </c>
      <c r="K26" s="31"/>
      <c r="M26" s="308">
        <f t="shared" si="8"/>
        <v>4</v>
      </c>
      <c r="P26" s="36">
        <v>65</v>
      </c>
      <c r="Q26" s="43">
        <v>4</v>
      </c>
      <c r="R26" s="41">
        <v>7.8287037037037044E-2</v>
      </c>
      <c r="S26" s="35">
        <v>0</v>
      </c>
      <c r="T26" s="37">
        <v>13</v>
      </c>
      <c r="U26" s="44">
        <v>4</v>
      </c>
      <c r="V26" s="240">
        <v>7.0179050925925496E-3</v>
      </c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57</v>
      </c>
      <c r="C27" s="63" t="str">
        <f t="shared" si="0"/>
        <v>POL19970825</v>
      </c>
      <c r="D27" s="64" t="str">
        <f t="shared" si="1"/>
        <v>GRZEGORZYCA Dominik</v>
      </c>
      <c r="E27" s="65" t="str">
        <f t="shared" si="2"/>
        <v>GRUPA KOLARSKA GLIWICE BA</v>
      </c>
      <c r="F27" s="66" t="str">
        <f t="shared" si="3"/>
        <v>SLA008</v>
      </c>
      <c r="G27" s="67" t="str">
        <f t="shared" si="4"/>
        <v>JUNIOR*</v>
      </c>
      <c r="H27" s="67" t="str">
        <f t="shared" si="5"/>
        <v>GLI</v>
      </c>
      <c r="I27" s="199">
        <f t="shared" si="6"/>
        <v>8.5347222222222241E-2</v>
      </c>
      <c r="J27" s="31">
        <f t="shared" si="7"/>
        <v>8.3012731481482693E-4</v>
      </c>
      <c r="K27" s="31"/>
      <c r="M27" s="308">
        <f t="shared" si="8"/>
        <v>57</v>
      </c>
      <c r="P27" s="36">
        <v>39</v>
      </c>
      <c r="Q27" s="43">
        <v>57</v>
      </c>
      <c r="R27" s="41">
        <v>7.8287037037037044E-2</v>
      </c>
      <c r="S27" s="35">
        <v>0</v>
      </c>
      <c r="T27" s="37">
        <v>15</v>
      </c>
      <c r="U27" s="44">
        <v>57</v>
      </c>
      <c r="V27" s="240">
        <v>7.060185185185204E-3</v>
      </c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52</v>
      </c>
      <c r="C28" s="63" t="str">
        <f t="shared" si="0"/>
        <v>POL19961008</v>
      </c>
      <c r="D28" s="64" t="str">
        <f t="shared" si="1"/>
        <v>ZLOTOWICZ Patryk</v>
      </c>
      <c r="E28" s="65" t="str">
        <f t="shared" si="2"/>
        <v>KLUCZBORK</v>
      </c>
      <c r="F28" s="66" t="str">
        <f t="shared" si="3"/>
        <v>OPO-016</v>
      </c>
      <c r="G28" s="67" t="str">
        <f t="shared" si="4"/>
        <v>JUNIOR</v>
      </c>
      <c r="H28" s="67" t="str">
        <f t="shared" si="5"/>
        <v>GLI</v>
      </c>
      <c r="I28" s="199">
        <f t="shared" si="6"/>
        <v>8.5357685185185217E-2</v>
      </c>
      <c r="J28" s="31">
        <f t="shared" si="7"/>
        <v>8.4059027777780293E-4</v>
      </c>
      <c r="K28" s="31"/>
      <c r="M28" s="308">
        <f t="shared" si="8"/>
        <v>52</v>
      </c>
      <c r="P28" s="36">
        <v>70</v>
      </c>
      <c r="Q28" s="43">
        <v>52</v>
      </c>
      <c r="R28" s="41">
        <v>7.8287037037037044E-2</v>
      </c>
      <c r="S28" s="35">
        <v>0</v>
      </c>
      <c r="T28" s="37">
        <v>16</v>
      </c>
      <c r="U28" s="44">
        <v>52</v>
      </c>
      <c r="V28" s="240">
        <v>7.07064814814818E-3</v>
      </c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3</v>
      </c>
      <c r="C29" s="63" t="str">
        <f t="shared" si="0"/>
        <v>GER19970102</v>
      </c>
      <c r="D29" s="64" t="str">
        <f t="shared" si="1"/>
        <v>ZEISE Paul</v>
      </c>
      <c r="E29" s="65" t="str">
        <f t="shared" si="2"/>
        <v>RSC TURBINE ERFURT</v>
      </c>
      <c r="F29" s="66" t="str">
        <f t="shared" si="3"/>
        <v>THÜ173430</v>
      </c>
      <c r="G29" s="67" t="str">
        <f t="shared" si="4"/>
        <v>JUNIOR*</v>
      </c>
      <c r="H29" s="67" t="str">
        <f t="shared" si="5"/>
        <v>TUR</v>
      </c>
      <c r="I29" s="199">
        <f t="shared" si="6"/>
        <v>8.5365231481481507E-2</v>
      </c>
      <c r="J29" s="31">
        <f t="shared" si="7"/>
        <v>8.4813657407409315E-4</v>
      </c>
      <c r="K29" s="31"/>
      <c r="M29" s="308">
        <f t="shared" si="8"/>
        <v>3</v>
      </c>
      <c r="P29" s="36">
        <v>27</v>
      </c>
      <c r="Q29" s="43">
        <v>3</v>
      </c>
      <c r="R29" s="41">
        <v>7.8287037037037044E-2</v>
      </c>
      <c r="S29" s="35">
        <v>0</v>
      </c>
      <c r="T29" s="37">
        <v>17</v>
      </c>
      <c r="U29" s="44">
        <v>3</v>
      </c>
      <c r="V29" s="240">
        <v>7.0781944444444633E-3</v>
      </c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124</v>
      </c>
      <c r="C30" s="63" t="str">
        <f t="shared" si="0"/>
        <v>CZE19970613</v>
      </c>
      <c r="D30" s="64" t="str">
        <f t="shared" si="1"/>
        <v xml:space="preserve">ŠÁNA Jiří </v>
      </c>
      <c r="E30" s="65" t="str">
        <f t="shared" si="2"/>
        <v xml:space="preserve">SKC TUFO PROSTĚJOV </v>
      </c>
      <c r="F30" s="66">
        <f t="shared" si="3"/>
        <v>8743</v>
      </c>
      <c r="G30" s="67" t="str">
        <f t="shared" si="4"/>
        <v>JUNIOR*</v>
      </c>
      <c r="H30" s="67" t="str">
        <f t="shared" si="5"/>
        <v>SKC</v>
      </c>
      <c r="I30" s="199">
        <f t="shared" si="6"/>
        <v>8.5393252314814802E-2</v>
      </c>
      <c r="J30" s="31">
        <f t="shared" si="7"/>
        <v>8.7615740740738801E-4</v>
      </c>
      <c r="K30" s="31"/>
      <c r="M30" s="308">
        <f t="shared" si="8"/>
        <v>124</v>
      </c>
      <c r="P30" s="36">
        <v>21</v>
      </c>
      <c r="Q30" s="43">
        <v>124</v>
      </c>
      <c r="R30" s="41">
        <v>7.8287037037037044E-2</v>
      </c>
      <c r="S30" s="35">
        <v>0</v>
      </c>
      <c r="T30" s="37">
        <v>19</v>
      </c>
      <c r="U30" s="44">
        <v>124</v>
      </c>
      <c r="V30" s="240">
        <v>7.1062152777777582E-3</v>
      </c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163</v>
      </c>
      <c r="C31" s="63" t="str">
        <f t="shared" si="0"/>
        <v>RUS19970527</v>
      </c>
      <c r="D31" s="64" t="str">
        <f t="shared" si="1"/>
        <v>PLAKUSHKIN Sergey</v>
      </c>
      <c r="E31" s="65" t="str">
        <f t="shared" si="2"/>
        <v>RUSSIAN CYCLING FEDERATION</v>
      </c>
      <c r="F31" s="66" t="str">
        <f t="shared" si="3"/>
        <v>B0277</v>
      </c>
      <c r="G31" s="67" t="str">
        <f t="shared" si="4"/>
        <v>JUNIOR*</v>
      </c>
      <c r="H31" s="67" t="str">
        <f t="shared" si="5"/>
        <v>RUS</v>
      </c>
      <c r="I31" s="199">
        <f t="shared" si="6"/>
        <v>8.5400879629629611E-2</v>
      </c>
      <c r="J31" s="31">
        <f t="shared" si="7"/>
        <v>8.8378472222219728E-4</v>
      </c>
      <c r="K31" s="31"/>
      <c r="M31" s="308">
        <f t="shared" si="8"/>
        <v>163</v>
      </c>
      <c r="P31" s="36">
        <v>32</v>
      </c>
      <c r="Q31" s="43">
        <v>163</v>
      </c>
      <c r="R31" s="41">
        <v>7.8287037037037044E-2</v>
      </c>
      <c r="S31" s="35">
        <v>0</v>
      </c>
      <c r="T31" s="37">
        <v>20</v>
      </c>
      <c r="U31" s="44">
        <v>163</v>
      </c>
      <c r="V31" s="240">
        <v>7.1138425925925744E-3</v>
      </c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185</v>
      </c>
      <c r="C32" s="63" t="str">
        <f t="shared" si="0"/>
        <v>AUT19960302</v>
      </c>
      <c r="D32" s="64" t="str">
        <f t="shared" si="1"/>
        <v>TAFERNER Stefan</v>
      </c>
      <c r="E32" s="65" t="str">
        <f t="shared" si="2"/>
        <v xml:space="preserve">LRV STEIERMARK </v>
      </c>
      <c r="F32" s="66">
        <f t="shared" si="3"/>
        <v>100831</v>
      </c>
      <c r="G32" s="67" t="str">
        <f t="shared" si="4"/>
        <v>JUNIOR</v>
      </c>
      <c r="H32" s="67" t="str">
        <f t="shared" si="5"/>
        <v>LRV</v>
      </c>
      <c r="I32" s="199">
        <f t="shared" si="6"/>
        <v>8.5401851851851895E-2</v>
      </c>
      <c r="J32" s="31">
        <f t="shared" si="7"/>
        <v>8.8475694444448139E-4</v>
      </c>
      <c r="K32" s="31"/>
      <c r="M32" s="308">
        <f t="shared" si="8"/>
        <v>185</v>
      </c>
      <c r="P32" s="36">
        <v>24</v>
      </c>
      <c r="Q32" s="43">
        <v>185</v>
      </c>
      <c r="R32" s="41">
        <v>7.8287037037037044E-2</v>
      </c>
      <c r="S32" s="35">
        <v>0</v>
      </c>
      <c r="T32" s="37">
        <v>21</v>
      </c>
      <c r="U32" s="44">
        <v>185</v>
      </c>
      <c r="V32" s="240">
        <v>7.1148148148148516E-3</v>
      </c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199">
        <f t="shared" si="6"/>
        <v>8.5438668981481461E-2</v>
      </c>
      <c r="J33" s="31">
        <f t="shared" si="7"/>
        <v>9.215740740740469E-4</v>
      </c>
      <c r="K33" s="31"/>
      <c r="M33" s="308">
        <f t="shared" si="8"/>
        <v>5</v>
      </c>
      <c r="P33" s="36">
        <v>19</v>
      </c>
      <c r="Q33" s="43">
        <v>5</v>
      </c>
      <c r="R33" s="41">
        <v>7.8287037037037044E-2</v>
      </c>
      <c r="S33" s="35">
        <v>0</v>
      </c>
      <c r="T33" s="37">
        <v>22</v>
      </c>
      <c r="U33" s="44">
        <v>5</v>
      </c>
      <c r="V33" s="240">
        <v>7.1516319444444171E-3</v>
      </c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105</v>
      </c>
      <c r="C34" s="63" t="str">
        <f t="shared" si="0"/>
        <v>CZE19960511</v>
      </c>
      <c r="D34" s="64" t="str">
        <f t="shared" si="1"/>
        <v xml:space="preserve">RAJCHART Jan </v>
      </c>
      <c r="E34" s="65" t="str">
        <f t="shared" si="2"/>
        <v xml:space="preserve">NUTREND SPECIALIZED RACING </v>
      </c>
      <c r="F34" s="66">
        <f t="shared" si="3"/>
        <v>7437</v>
      </c>
      <c r="G34" s="67" t="str">
        <f t="shared" si="4"/>
        <v>JUNIOR</v>
      </c>
      <c r="H34" s="67" t="str">
        <f t="shared" si="5"/>
        <v>LOU</v>
      </c>
      <c r="I34" s="199">
        <f t="shared" si="6"/>
        <v>8.5447835648148146E-2</v>
      </c>
      <c r="J34" s="31">
        <f t="shared" si="7"/>
        <v>9.3074074074073199E-4</v>
      </c>
      <c r="K34" s="31"/>
      <c r="M34" s="308">
        <f t="shared" si="8"/>
        <v>105</v>
      </c>
      <c r="P34" s="36">
        <v>71</v>
      </c>
      <c r="Q34" s="43">
        <v>105</v>
      </c>
      <c r="R34" s="41">
        <v>7.8287037037037044E-2</v>
      </c>
      <c r="S34" s="35">
        <v>0</v>
      </c>
      <c r="T34" s="37">
        <v>23</v>
      </c>
      <c r="U34" s="44">
        <v>105</v>
      </c>
      <c r="V34" s="240">
        <v>7.1607986111111022E-3</v>
      </c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176</v>
      </c>
      <c r="C35" s="63" t="str">
        <f t="shared" si="0"/>
        <v>SVK19960130</v>
      </c>
      <c r="D35" s="64" t="str">
        <f t="shared" si="1"/>
        <v>BELLAN Juraj</v>
      </c>
      <c r="E35" s="65" t="str">
        <f t="shared" si="2"/>
        <v xml:space="preserve">SLOVAK CYCLING FEDERATION </v>
      </c>
      <c r="F35" s="66">
        <f t="shared" si="3"/>
        <v>5681</v>
      </c>
      <c r="G35" s="67" t="str">
        <f t="shared" si="4"/>
        <v>JUNIOR</v>
      </c>
      <c r="H35" s="67" t="str">
        <f t="shared" si="5"/>
        <v>SVK</v>
      </c>
      <c r="I35" s="199">
        <f t="shared" si="6"/>
        <v>8.5453773148148171E-2</v>
      </c>
      <c r="J35" s="31">
        <f t="shared" si="7"/>
        <v>9.3667824074075701E-4</v>
      </c>
      <c r="K35" s="31"/>
      <c r="M35" s="308">
        <f t="shared" si="8"/>
        <v>176</v>
      </c>
      <c r="P35" s="36">
        <v>68</v>
      </c>
      <c r="Q35" s="43">
        <v>176</v>
      </c>
      <c r="R35" s="41">
        <v>7.8287037037037044E-2</v>
      </c>
      <c r="S35" s="35">
        <v>0</v>
      </c>
      <c r="T35" s="37">
        <v>24</v>
      </c>
      <c r="U35" s="44">
        <v>176</v>
      </c>
      <c r="V35" s="240">
        <v>7.1667361111111341E-3</v>
      </c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93</v>
      </c>
      <c r="C36" s="63" t="str">
        <f t="shared" si="0"/>
        <v>CZE19960424</v>
      </c>
      <c r="D36" s="64" t="str">
        <f t="shared" si="1"/>
        <v xml:space="preserve">GRUBER Pavel </v>
      </c>
      <c r="E36" s="65" t="str">
        <f t="shared" si="2"/>
        <v xml:space="preserve">TJ FAVORIT BRNO </v>
      </c>
      <c r="F36" s="66">
        <f t="shared" si="3"/>
        <v>13075</v>
      </c>
      <c r="G36" s="67" t="str">
        <f t="shared" si="4"/>
        <v>JUNIOR</v>
      </c>
      <c r="H36" s="67" t="str">
        <f t="shared" si="5"/>
        <v>FAV</v>
      </c>
      <c r="I36" s="199">
        <f t="shared" si="6"/>
        <v>8.5457743055555521E-2</v>
      </c>
      <c r="J36" s="31">
        <f t="shared" si="7"/>
        <v>9.4064814814810715E-4</v>
      </c>
      <c r="K36" s="31"/>
      <c r="M36" s="308">
        <f t="shared" si="8"/>
        <v>93</v>
      </c>
      <c r="P36" s="36">
        <v>4</v>
      </c>
      <c r="Q36" s="43">
        <v>93</v>
      </c>
      <c r="R36" s="41">
        <v>7.8067129629629625E-2</v>
      </c>
      <c r="S36" s="35">
        <v>0</v>
      </c>
      <c r="T36" s="37">
        <v>43</v>
      </c>
      <c r="U36" s="44">
        <v>93</v>
      </c>
      <c r="V36" s="240">
        <v>7.390613425925896E-3</v>
      </c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133</v>
      </c>
      <c r="C37" s="63" t="str">
        <f t="shared" si="0"/>
        <v>CZE19960924</v>
      </c>
      <c r="D37" s="64" t="str">
        <f t="shared" si="1"/>
        <v>CAMRDA Pavel</v>
      </c>
      <c r="E37" s="65" t="str">
        <f t="shared" si="2"/>
        <v>RC ARBÖ WELS GOURMETFEIN</v>
      </c>
      <c r="F37" s="66">
        <f t="shared" si="3"/>
        <v>8509</v>
      </c>
      <c r="G37" s="67" t="str">
        <f t="shared" si="4"/>
        <v>JUNIOR</v>
      </c>
      <c r="H37" s="67" t="str">
        <f t="shared" si="5"/>
        <v>RCA</v>
      </c>
      <c r="I37" s="199">
        <f t="shared" si="6"/>
        <v>8.5466087962962956E-2</v>
      </c>
      <c r="J37" s="31">
        <f t="shared" si="7"/>
        <v>9.4899305555554148E-4</v>
      </c>
      <c r="K37" s="31"/>
      <c r="M37" s="308">
        <f t="shared" si="8"/>
        <v>133</v>
      </c>
      <c r="P37" s="36">
        <v>69</v>
      </c>
      <c r="Q37" s="43">
        <v>133</v>
      </c>
      <c r="R37" s="41">
        <v>7.8287037037037044E-2</v>
      </c>
      <c r="S37" s="35">
        <v>0</v>
      </c>
      <c r="T37" s="37">
        <v>25</v>
      </c>
      <c r="U37" s="44">
        <v>133</v>
      </c>
      <c r="V37" s="240">
        <v>7.1790509259259047E-3</v>
      </c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94</v>
      </c>
      <c r="C38" s="63" t="str">
        <f t="shared" si="0"/>
        <v>CZE19970127</v>
      </c>
      <c r="D38" s="64" t="str">
        <f t="shared" si="1"/>
        <v xml:space="preserve">KOTOUČEK Matěj </v>
      </c>
      <c r="E38" s="65" t="str">
        <f t="shared" si="2"/>
        <v xml:space="preserve">TJ FAVORIT BRNO </v>
      </c>
      <c r="F38" s="66">
        <f t="shared" si="3"/>
        <v>9917</v>
      </c>
      <c r="G38" s="67" t="str">
        <f t="shared" si="4"/>
        <v>JUNIOR*</v>
      </c>
      <c r="H38" s="67" t="str">
        <f t="shared" si="5"/>
        <v>FAV</v>
      </c>
      <c r="I38" s="199">
        <f t="shared" si="6"/>
        <v>8.546843749999998E-2</v>
      </c>
      <c r="J38" s="31">
        <f t="shared" si="7"/>
        <v>9.5134259259256615E-4</v>
      </c>
      <c r="K38" s="31"/>
      <c r="M38" s="308">
        <f t="shared" si="8"/>
        <v>94</v>
      </c>
      <c r="P38" s="36">
        <v>50</v>
      </c>
      <c r="Q38" s="43">
        <v>94</v>
      </c>
      <c r="R38" s="41">
        <v>7.8287037037037044E-2</v>
      </c>
      <c r="S38" s="35">
        <v>0</v>
      </c>
      <c r="T38" s="37">
        <v>26</v>
      </c>
      <c r="U38" s="44">
        <v>94</v>
      </c>
      <c r="V38" s="240">
        <v>7.1814004629629363E-3</v>
      </c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114</v>
      </c>
      <c r="C39" s="63" t="str">
        <f t="shared" si="0"/>
        <v>GER19960823</v>
      </c>
      <c r="D39" s="64" t="str">
        <f t="shared" si="1"/>
        <v>SCHLOTT Julius</v>
      </c>
      <c r="E39" s="65" t="str">
        <f t="shared" si="2"/>
        <v>TEAM BRANDENBURG - RSC COTTBUS</v>
      </c>
      <c r="F39" s="66" t="str">
        <f t="shared" si="3"/>
        <v>044086-11</v>
      </c>
      <c r="G39" s="67" t="str">
        <f t="shared" si="4"/>
        <v>JUNIOR</v>
      </c>
      <c r="H39" s="67" t="str">
        <f t="shared" si="5"/>
        <v>COT</v>
      </c>
      <c r="I39" s="199">
        <f t="shared" si="6"/>
        <v>8.5474502314814793E-2</v>
      </c>
      <c r="J39" s="31">
        <f t="shared" si="7"/>
        <v>9.5740740740737906E-4</v>
      </c>
      <c r="K39" s="31"/>
      <c r="M39" s="308">
        <f t="shared" si="8"/>
        <v>114</v>
      </c>
      <c r="P39" s="36">
        <v>67</v>
      </c>
      <c r="Q39" s="43">
        <v>114</v>
      </c>
      <c r="R39" s="41">
        <v>7.8287037037037044E-2</v>
      </c>
      <c r="S39" s="35">
        <v>0</v>
      </c>
      <c r="T39" s="37">
        <v>27</v>
      </c>
      <c r="U39" s="44">
        <v>114</v>
      </c>
      <c r="V39" s="240">
        <v>7.1874652777777492E-3</v>
      </c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162</v>
      </c>
      <c r="C40" s="63" t="str">
        <f t="shared" si="0"/>
        <v>RUS19971119</v>
      </c>
      <c r="D40" s="64" t="str">
        <f t="shared" si="1"/>
        <v>NECHAEV Vladislav</v>
      </c>
      <c r="E40" s="65" t="str">
        <f t="shared" si="2"/>
        <v>RUSSIAN CYCLING FEDERATION</v>
      </c>
      <c r="F40" s="66" t="str">
        <f t="shared" si="3"/>
        <v>B0275</v>
      </c>
      <c r="G40" s="67" t="str">
        <f t="shared" si="4"/>
        <v>JUNIOR*</v>
      </c>
      <c r="H40" s="67" t="str">
        <f t="shared" si="5"/>
        <v>RUS</v>
      </c>
      <c r="I40" s="199">
        <f t="shared" si="6"/>
        <v>8.548474537037043E-2</v>
      </c>
      <c r="J40" s="31">
        <f t="shared" si="7"/>
        <v>9.676504629630156E-4</v>
      </c>
      <c r="K40" s="31"/>
      <c r="M40" s="308">
        <f t="shared" si="8"/>
        <v>162</v>
      </c>
      <c r="P40" s="36">
        <v>44</v>
      </c>
      <c r="Q40" s="43">
        <v>162</v>
      </c>
      <c r="R40" s="41">
        <v>7.8287037037037044E-2</v>
      </c>
      <c r="S40" s="35">
        <v>0</v>
      </c>
      <c r="T40" s="37">
        <v>28</v>
      </c>
      <c r="U40" s="44">
        <v>162</v>
      </c>
      <c r="V40" s="240">
        <v>7.1977083333333788E-3</v>
      </c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137</v>
      </c>
      <c r="C41" s="63" t="str">
        <f t="shared" si="0"/>
        <v>AUT19960713</v>
      </c>
      <c r="D41" s="64" t="str">
        <f t="shared" si="1"/>
        <v>PÖPPL Tobias</v>
      </c>
      <c r="E41" s="65" t="str">
        <f t="shared" si="2"/>
        <v>RC WALDING</v>
      </c>
      <c r="F41" s="66">
        <f t="shared" si="3"/>
        <v>100289</v>
      </c>
      <c r="G41" s="67" t="str">
        <f t="shared" si="4"/>
        <v>JUNIOR</v>
      </c>
      <c r="H41" s="67" t="str">
        <f t="shared" si="5"/>
        <v>RCA</v>
      </c>
      <c r="I41" s="199">
        <f t="shared" si="6"/>
        <v>8.5515057870370365E-2</v>
      </c>
      <c r="J41" s="31">
        <f t="shared" si="7"/>
        <v>9.9796296296295051E-4</v>
      </c>
      <c r="K41" s="31"/>
      <c r="M41" s="308">
        <f t="shared" si="8"/>
        <v>137</v>
      </c>
      <c r="P41" s="36">
        <v>13</v>
      </c>
      <c r="Q41" s="43">
        <v>137</v>
      </c>
      <c r="R41" s="41">
        <v>7.8287037037037044E-2</v>
      </c>
      <c r="S41" s="35">
        <v>0</v>
      </c>
      <c r="T41" s="37">
        <v>29</v>
      </c>
      <c r="U41" s="44">
        <v>137</v>
      </c>
      <c r="V41" s="240">
        <v>7.2280208333333207E-3</v>
      </c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97</v>
      </c>
      <c r="C42" s="63" t="str">
        <f t="shared" si="0"/>
        <v>SVK19961022</v>
      </c>
      <c r="D42" s="64" t="str">
        <f t="shared" si="1"/>
        <v xml:space="preserve">STRMISKA Andrej </v>
      </c>
      <c r="E42" s="65" t="str">
        <f t="shared" si="2"/>
        <v xml:space="preserve">TJ FAVORIT BRNO </v>
      </c>
      <c r="F42" s="66">
        <f t="shared" si="3"/>
        <v>6009</v>
      </c>
      <c r="G42" s="67" t="str">
        <f t="shared" si="4"/>
        <v>JUNIOR</v>
      </c>
      <c r="H42" s="67" t="str">
        <f t="shared" si="5"/>
        <v>FAV</v>
      </c>
      <c r="I42" s="199">
        <f t="shared" si="6"/>
        <v>8.5521562499999954E-2</v>
      </c>
      <c r="J42" s="31">
        <f t="shared" si="7"/>
        <v>1.0044675925925395E-3</v>
      </c>
      <c r="K42" s="31"/>
      <c r="M42" s="308">
        <f t="shared" si="8"/>
        <v>97</v>
      </c>
      <c r="P42" s="36">
        <v>55</v>
      </c>
      <c r="Q42" s="43">
        <v>97</v>
      </c>
      <c r="R42" s="41">
        <v>7.8287037037037044E-2</v>
      </c>
      <c r="S42" s="35">
        <v>0</v>
      </c>
      <c r="T42" s="37">
        <v>30</v>
      </c>
      <c r="U42" s="44">
        <v>97</v>
      </c>
      <c r="V42" s="240">
        <v>7.2345254629629166E-3</v>
      </c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161</v>
      </c>
      <c r="C43" s="63" t="str">
        <f t="shared" si="0"/>
        <v>RUS19970210</v>
      </c>
      <c r="D43" s="64" t="str">
        <f t="shared" si="1"/>
        <v>GRISHIN Maksim</v>
      </c>
      <c r="E43" s="65" t="str">
        <f t="shared" si="2"/>
        <v>RUSSIAN CYCLING FEDERATION</v>
      </c>
      <c r="F43" s="66" t="str">
        <f t="shared" si="3"/>
        <v>B0280</v>
      </c>
      <c r="G43" s="67" t="str">
        <f t="shared" si="4"/>
        <v>JUNIOR*</v>
      </c>
      <c r="H43" s="67" t="str">
        <f t="shared" si="5"/>
        <v>RUS</v>
      </c>
      <c r="I43" s="199">
        <f t="shared" si="6"/>
        <v>8.5528229166666692E-2</v>
      </c>
      <c r="J43" s="31">
        <f t="shared" si="7"/>
        <v>1.0111342592592776E-3</v>
      </c>
      <c r="K43" s="31"/>
      <c r="M43" s="308">
        <f t="shared" si="8"/>
        <v>161</v>
      </c>
      <c r="P43" s="36">
        <v>18</v>
      </c>
      <c r="Q43" s="43">
        <v>161</v>
      </c>
      <c r="R43" s="41">
        <v>7.8287037037037044E-2</v>
      </c>
      <c r="S43" s="35">
        <v>0</v>
      </c>
      <c r="T43" s="37">
        <v>31</v>
      </c>
      <c r="U43" s="44">
        <v>161</v>
      </c>
      <c r="V43" s="240">
        <v>7.2411921296296478E-3</v>
      </c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56</v>
      </c>
      <c r="C44" s="63" t="str">
        <f t="shared" ref="C44:C75" si="9">VLOOKUP(B44,STARTOVKA,2,0)</f>
        <v>POL19970322</v>
      </c>
      <c r="D44" s="64" t="str">
        <f t="shared" ref="D44:D75" si="10">VLOOKUP(B44,STARTOVKA,3,0)</f>
        <v>FOLTYN Maciej</v>
      </c>
      <c r="E44" s="65" t="str">
        <f t="shared" ref="E44:E75" si="11">VLOOKUP(B44,STARTOVKA,4,0)</f>
        <v>GRUPA KOLARSKA GLIWICE BA</v>
      </c>
      <c r="F44" s="66" t="str">
        <f t="shared" ref="F44:F75" si="12">VLOOKUP(B44,STARTOVKA,5,0)</f>
        <v>SLA219</v>
      </c>
      <c r="G44" s="67" t="str">
        <f t="shared" ref="G44:G75" si="13">VLOOKUP(B44,STARTOVKA,6,0)</f>
        <v>JUNIOR*</v>
      </c>
      <c r="H44" s="67" t="str">
        <f t="shared" ref="H44:H75" si="14">VLOOKUP(B44,STARTOVKA,7,0)</f>
        <v>GLI</v>
      </c>
      <c r="I44" s="199">
        <f t="shared" ref="I44:I75" si="15">SUM(R44,V44,Z44,AD44)-SUM(S44,W44,AA44,AE44)+AF44</f>
        <v>8.5532453703703742E-2</v>
      </c>
      <c r="J44" s="31">
        <f t="shared" ref="J44:J75" si="16">I44-$I$12</f>
        <v>1.0153587962963284E-3</v>
      </c>
      <c r="K44" s="31"/>
      <c r="M44" s="308">
        <f t="shared" si="8"/>
        <v>56</v>
      </c>
      <c r="P44" s="36">
        <v>72</v>
      </c>
      <c r="Q44" s="43">
        <v>56</v>
      </c>
      <c r="R44" s="41">
        <v>7.8287037037037044E-2</v>
      </c>
      <c r="S44" s="35">
        <v>0</v>
      </c>
      <c r="T44" s="37">
        <v>32</v>
      </c>
      <c r="U44" s="44">
        <v>56</v>
      </c>
      <c r="V44" s="240">
        <v>7.2454166666667055E-3</v>
      </c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55</v>
      </c>
      <c r="C45" s="63" t="str">
        <f t="shared" si="9"/>
        <v>POL19981009</v>
      </c>
      <c r="D45" s="64" t="str">
        <f t="shared" si="10"/>
        <v>FABIAN Marcel</v>
      </c>
      <c r="E45" s="65" t="str">
        <f t="shared" si="11"/>
        <v>GRUPA KOLARSKA GLIWICE BA</v>
      </c>
      <c r="F45" s="66" t="str">
        <f t="shared" si="12"/>
        <v>SLA012</v>
      </c>
      <c r="G45" s="67" t="str">
        <f t="shared" si="13"/>
        <v>CADET</v>
      </c>
      <c r="H45" s="67" t="str">
        <f t="shared" si="14"/>
        <v>GLI</v>
      </c>
      <c r="I45" s="199">
        <f t="shared" si="15"/>
        <v>8.5557962962962975E-2</v>
      </c>
      <c r="J45" s="31">
        <f t="shared" si="16"/>
        <v>1.0408680555555605E-3</v>
      </c>
      <c r="K45" s="31"/>
      <c r="M45" s="308">
        <f t="shared" si="8"/>
        <v>55</v>
      </c>
      <c r="P45" s="36">
        <v>54</v>
      </c>
      <c r="Q45" s="43">
        <v>55</v>
      </c>
      <c r="R45" s="41">
        <v>7.8287037037037044E-2</v>
      </c>
      <c r="S45" s="35">
        <v>0</v>
      </c>
      <c r="T45" s="37">
        <v>33</v>
      </c>
      <c r="U45" s="44">
        <v>55</v>
      </c>
      <c r="V45" s="240">
        <v>7.2709259259259237E-3</v>
      </c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134</v>
      </c>
      <c r="C46" s="63" t="str">
        <f t="shared" si="9"/>
        <v>AUT19960910</v>
      </c>
      <c r="D46" s="64" t="str">
        <f t="shared" si="10"/>
        <v>HUBER Marcel</v>
      </c>
      <c r="E46" s="65" t="str">
        <f t="shared" si="11"/>
        <v>RC ARBÖ WELS GOURMETFEIN</v>
      </c>
      <c r="F46" s="66">
        <f t="shared" si="12"/>
        <v>100090</v>
      </c>
      <c r="G46" s="67" t="str">
        <f t="shared" si="13"/>
        <v>JUNIOR</v>
      </c>
      <c r="H46" s="67" t="str">
        <f t="shared" si="14"/>
        <v>RCA</v>
      </c>
      <c r="I46" s="199">
        <f t="shared" si="15"/>
        <v>8.556276620370365E-2</v>
      </c>
      <c r="J46" s="31">
        <f t="shared" si="16"/>
        <v>1.0456712962962356E-3</v>
      </c>
      <c r="K46" s="31"/>
      <c r="M46" s="308">
        <f t="shared" si="8"/>
        <v>134</v>
      </c>
      <c r="P46" s="36">
        <v>46</v>
      </c>
      <c r="Q46" s="43">
        <v>134</v>
      </c>
      <c r="R46" s="41">
        <v>7.8287037037037044E-2</v>
      </c>
      <c r="S46" s="35">
        <v>0</v>
      </c>
      <c r="T46" s="37">
        <v>34</v>
      </c>
      <c r="U46" s="44">
        <v>134</v>
      </c>
      <c r="V46" s="240">
        <v>7.2757291666666127E-3</v>
      </c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181</v>
      </c>
      <c r="C47" s="63" t="str">
        <f t="shared" si="9"/>
        <v>AUT19960516</v>
      </c>
      <c r="D47" s="64" t="str">
        <f t="shared" si="10"/>
        <v>DYCZEK Felix</v>
      </c>
      <c r="E47" s="65" t="str">
        <f t="shared" si="11"/>
        <v xml:space="preserve">LRV STEIERMARK </v>
      </c>
      <c r="F47" s="66">
        <f t="shared" si="12"/>
        <v>100824</v>
      </c>
      <c r="G47" s="67" t="str">
        <f t="shared" si="13"/>
        <v>JUNIOR</v>
      </c>
      <c r="H47" s="67" t="str">
        <f t="shared" si="14"/>
        <v>LRV</v>
      </c>
      <c r="I47" s="199">
        <f t="shared" si="15"/>
        <v>8.5573506944444488E-2</v>
      </c>
      <c r="J47" s="31">
        <f t="shared" si="16"/>
        <v>1.0564120370370744E-3</v>
      </c>
      <c r="K47" s="31"/>
      <c r="M47" s="308">
        <f t="shared" si="8"/>
        <v>181</v>
      </c>
      <c r="P47" s="36">
        <v>60</v>
      </c>
      <c r="Q47" s="43">
        <v>181</v>
      </c>
      <c r="R47" s="41">
        <v>7.8287037037037044E-2</v>
      </c>
      <c r="S47" s="35">
        <v>0</v>
      </c>
      <c r="T47" s="37">
        <v>35</v>
      </c>
      <c r="U47" s="44">
        <v>181</v>
      </c>
      <c r="V47" s="240">
        <v>7.2864699074074446E-3</v>
      </c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150</v>
      </c>
      <c r="C48" s="63" t="str">
        <f t="shared" si="9"/>
        <v>CZE19970926</v>
      </c>
      <c r="D48" s="64" t="str">
        <f t="shared" si="10"/>
        <v xml:space="preserve">BRÁZDA Michal </v>
      </c>
      <c r="E48" s="65" t="str">
        <f t="shared" si="11"/>
        <v xml:space="preserve">MAPEI CYKLO KAŇKOVSKÝ </v>
      </c>
      <c r="F48" s="66">
        <f t="shared" si="12"/>
        <v>8547</v>
      </c>
      <c r="G48" s="67" t="str">
        <f t="shared" si="13"/>
        <v>JUNIOR*</v>
      </c>
      <c r="H48" s="67" t="str">
        <f t="shared" si="14"/>
        <v>MAP</v>
      </c>
      <c r="I48" s="199">
        <f t="shared" si="15"/>
        <v>8.5602951388888932E-2</v>
      </c>
      <c r="J48" s="31">
        <f t="shared" si="16"/>
        <v>1.0858564814815175E-3</v>
      </c>
      <c r="K48" s="31"/>
      <c r="M48" s="308">
        <f t="shared" si="8"/>
        <v>150</v>
      </c>
      <c r="P48" s="36">
        <v>10</v>
      </c>
      <c r="Q48" s="43">
        <v>150</v>
      </c>
      <c r="R48" s="41">
        <v>7.8287037037037044E-2</v>
      </c>
      <c r="S48" s="35">
        <v>2.3148148148148147E-5</v>
      </c>
      <c r="T48" s="37">
        <v>37</v>
      </c>
      <c r="U48" s="44">
        <v>150</v>
      </c>
      <c r="V48" s="240">
        <v>7.3390625000000348E-3</v>
      </c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96</v>
      </c>
      <c r="C49" s="63" t="str">
        <f t="shared" si="9"/>
        <v>CZE19960516</v>
      </c>
      <c r="D49" s="64" t="str">
        <f t="shared" si="10"/>
        <v xml:space="preserve">SCHMIDT Vít </v>
      </c>
      <c r="E49" s="65" t="str">
        <f t="shared" si="11"/>
        <v xml:space="preserve">TJ FAVORIT BRNO </v>
      </c>
      <c r="F49" s="66">
        <f t="shared" si="12"/>
        <v>8369</v>
      </c>
      <c r="G49" s="67" t="str">
        <f t="shared" si="13"/>
        <v>JUNIOR</v>
      </c>
      <c r="H49" s="67" t="str">
        <f t="shared" si="14"/>
        <v>FAV</v>
      </c>
      <c r="I49" s="199">
        <f t="shared" si="15"/>
        <v>8.56220601851852E-2</v>
      </c>
      <c r="J49" s="31">
        <f t="shared" si="16"/>
        <v>1.1049652777777863E-3</v>
      </c>
      <c r="K49" s="31"/>
      <c r="M49" s="308">
        <f t="shared" si="8"/>
        <v>96</v>
      </c>
      <c r="P49" s="36">
        <v>37</v>
      </c>
      <c r="Q49" s="43">
        <v>96</v>
      </c>
      <c r="R49" s="41">
        <v>7.8287037037037044E-2</v>
      </c>
      <c r="S49" s="35">
        <v>0</v>
      </c>
      <c r="T49" s="37">
        <v>36</v>
      </c>
      <c r="U49" s="44">
        <v>96</v>
      </c>
      <c r="V49" s="240">
        <v>7.3350231481481634E-3</v>
      </c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183</v>
      </c>
      <c r="C50" s="63" t="str">
        <f t="shared" si="9"/>
        <v>AUT19961121</v>
      </c>
      <c r="D50" s="64" t="str">
        <f t="shared" si="10"/>
        <v>KROGER Klemens</v>
      </c>
      <c r="E50" s="65" t="str">
        <f t="shared" si="11"/>
        <v xml:space="preserve">LRV STEIERMARK </v>
      </c>
      <c r="F50" s="66">
        <f t="shared" si="12"/>
        <v>100828</v>
      </c>
      <c r="G50" s="67" t="str">
        <f t="shared" si="13"/>
        <v>JUNIOR</v>
      </c>
      <c r="H50" s="67" t="str">
        <f t="shared" si="14"/>
        <v>LRV</v>
      </c>
      <c r="I50" s="199">
        <f t="shared" si="15"/>
        <v>8.5626192129629602E-2</v>
      </c>
      <c r="J50" s="31">
        <f t="shared" si="16"/>
        <v>1.1090972222221884E-3</v>
      </c>
      <c r="K50" s="31"/>
      <c r="M50" s="308">
        <f t="shared" si="8"/>
        <v>183</v>
      </c>
      <c r="P50" s="36">
        <v>92</v>
      </c>
      <c r="Q50" s="43">
        <v>183</v>
      </c>
      <c r="R50" s="41">
        <v>7.8287037037037044E-2</v>
      </c>
      <c r="S50" s="35">
        <v>0</v>
      </c>
      <c r="T50" s="37">
        <v>38</v>
      </c>
      <c r="U50" s="44">
        <v>183</v>
      </c>
      <c r="V50" s="240">
        <v>7.3391550925925517E-3</v>
      </c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187</v>
      </c>
      <c r="C51" s="63" t="str">
        <f t="shared" si="9"/>
        <v>AUT19970913</v>
      </c>
      <c r="D51" s="64" t="str">
        <f t="shared" si="10"/>
        <v>DALLINGER Christian</v>
      </c>
      <c r="E51" s="65" t="str">
        <f t="shared" si="11"/>
        <v xml:space="preserve">LRV STEIERMARK </v>
      </c>
      <c r="F51" s="66">
        <f t="shared" si="12"/>
        <v>100350</v>
      </c>
      <c r="G51" s="67" t="str">
        <f t="shared" si="13"/>
        <v>JUNIOR*</v>
      </c>
      <c r="H51" s="67" t="str">
        <f t="shared" si="14"/>
        <v>LRV</v>
      </c>
      <c r="I51" s="199">
        <f t="shared" si="15"/>
        <v>8.5640810185185157E-2</v>
      </c>
      <c r="J51" s="31">
        <f t="shared" si="16"/>
        <v>1.1237152777777426E-3</v>
      </c>
      <c r="K51" s="31"/>
      <c r="M51" s="308">
        <f t="shared" si="8"/>
        <v>187</v>
      </c>
      <c r="P51" s="36">
        <v>74</v>
      </c>
      <c r="Q51" s="43">
        <v>187</v>
      </c>
      <c r="R51" s="41">
        <v>7.8287037037037044E-2</v>
      </c>
      <c r="S51" s="35">
        <v>0</v>
      </c>
      <c r="T51" s="37">
        <v>39</v>
      </c>
      <c r="U51" s="44">
        <v>187</v>
      </c>
      <c r="V51" s="240">
        <v>7.3537731481481058E-3</v>
      </c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123</v>
      </c>
      <c r="C52" s="63" t="str">
        <f t="shared" si="9"/>
        <v>CZE19971015</v>
      </c>
      <c r="D52" s="64" t="str">
        <f t="shared" si="10"/>
        <v xml:space="preserve">STRUPEK Matyáš </v>
      </c>
      <c r="E52" s="65" t="str">
        <f t="shared" si="11"/>
        <v xml:space="preserve">SKC TUFO PROSTĚJOV </v>
      </c>
      <c r="F52" s="66">
        <f t="shared" si="12"/>
        <v>11747</v>
      </c>
      <c r="G52" s="67" t="str">
        <f t="shared" si="13"/>
        <v>JUNIOR*</v>
      </c>
      <c r="H52" s="67" t="str">
        <f t="shared" si="14"/>
        <v>SKC</v>
      </c>
      <c r="I52" s="199">
        <f t="shared" si="15"/>
        <v>8.5660023148148121E-2</v>
      </c>
      <c r="J52" s="31">
        <f t="shared" si="16"/>
        <v>1.1429282407407065E-3</v>
      </c>
      <c r="K52" s="31"/>
      <c r="M52" s="308">
        <f t="shared" si="8"/>
        <v>123</v>
      </c>
      <c r="P52" s="36">
        <v>38</v>
      </c>
      <c r="Q52" s="43">
        <v>123</v>
      </c>
      <c r="R52" s="41">
        <v>7.8287037037037044E-2</v>
      </c>
      <c r="S52" s="35">
        <v>0</v>
      </c>
      <c r="T52" s="37">
        <v>40</v>
      </c>
      <c r="U52" s="44">
        <v>123</v>
      </c>
      <c r="V52" s="240">
        <v>7.3729861111110767E-3</v>
      </c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171</v>
      </c>
      <c r="C53" s="63" t="str">
        <f t="shared" si="9"/>
        <v>SVK19970301</v>
      </c>
      <c r="D53" s="64" t="str">
        <f t="shared" si="10"/>
        <v>KNIHA Ladislav</v>
      </c>
      <c r="E53" s="65" t="str">
        <f t="shared" si="11"/>
        <v xml:space="preserve">SLOVAK CYCLING FEDERATION </v>
      </c>
      <c r="F53" s="66">
        <f t="shared" si="12"/>
        <v>6788</v>
      </c>
      <c r="G53" s="67" t="str">
        <f t="shared" si="13"/>
        <v>JUNIOR*</v>
      </c>
      <c r="H53" s="67" t="str">
        <f t="shared" si="14"/>
        <v>SVK</v>
      </c>
      <c r="I53" s="199">
        <f t="shared" si="15"/>
        <v>8.5670115740740779E-2</v>
      </c>
      <c r="J53" s="31">
        <f t="shared" si="16"/>
        <v>1.1530208333333652E-3</v>
      </c>
      <c r="K53" s="31"/>
      <c r="M53" s="308">
        <f t="shared" si="8"/>
        <v>171</v>
      </c>
      <c r="P53" s="36">
        <v>22</v>
      </c>
      <c r="Q53" s="43">
        <v>171</v>
      </c>
      <c r="R53" s="41">
        <v>7.8287037037037044E-2</v>
      </c>
      <c r="S53" s="35">
        <v>0</v>
      </c>
      <c r="T53" s="37">
        <v>41</v>
      </c>
      <c r="U53" s="44">
        <v>171</v>
      </c>
      <c r="V53" s="240">
        <v>7.3830787037037354E-3</v>
      </c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95</v>
      </c>
      <c r="C54" s="63" t="str">
        <f t="shared" si="9"/>
        <v>CZE19970813</v>
      </c>
      <c r="D54" s="64" t="str">
        <f t="shared" si="10"/>
        <v xml:space="preserve">LAFUNTÁL Robert </v>
      </c>
      <c r="E54" s="65" t="str">
        <f t="shared" si="11"/>
        <v xml:space="preserve">TJ FAVORIT BRNO </v>
      </c>
      <c r="F54" s="66">
        <f t="shared" si="12"/>
        <v>13204</v>
      </c>
      <c r="G54" s="67" t="str">
        <f t="shared" si="13"/>
        <v>JUNIOR*</v>
      </c>
      <c r="H54" s="67" t="str">
        <f t="shared" si="14"/>
        <v>FAV</v>
      </c>
      <c r="I54" s="199">
        <f t="shared" si="15"/>
        <v>8.567571759259264E-2</v>
      </c>
      <c r="J54" s="31">
        <f t="shared" si="16"/>
        <v>1.158622685185226E-3</v>
      </c>
      <c r="K54" s="31"/>
      <c r="M54" s="308">
        <f t="shared" si="8"/>
        <v>95</v>
      </c>
      <c r="P54" s="36">
        <v>97</v>
      </c>
      <c r="Q54" s="43">
        <v>95</v>
      </c>
      <c r="R54" s="41">
        <v>7.8287037037037044E-2</v>
      </c>
      <c r="S54" s="35">
        <v>0</v>
      </c>
      <c r="T54" s="37">
        <v>42</v>
      </c>
      <c r="U54" s="44">
        <v>95</v>
      </c>
      <c r="V54" s="240">
        <v>7.388680555555591E-3</v>
      </c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151</v>
      </c>
      <c r="C55" s="63" t="str">
        <f t="shared" si="9"/>
        <v>CZE19960501</v>
      </c>
      <c r="D55" s="64" t="str">
        <f t="shared" si="10"/>
        <v>TOMAN Vojtěch</v>
      </c>
      <c r="E55" s="65" t="str">
        <f t="shared" si="11"/>
        <v>STEVENS ZNOJMO</v>
      </c>
      <c r="F55" s="66">
        <f t="shared" si="12"/>
        <v>9096</v>
      </c>
      <c r="G55" s="67" t="str">
        <f t="shared" si="13"/>
        <v>JUNIOR</v>
      </c>
      <c r="H55" s="67" t="str">
        <f t="shared" si="14"/>
        <v>SKC</v>
      </c>
      <c r="I55" s="199">
        <f t="shared" si="15"/>
        <v>8.5697893518518461E-2</v>
      </c>
      <c r="J55" s="31">
        <f t="shared" si="16"/>
        <v>1.1807986111110474E-3</v>
      </c>
      <c r="K55" s="31"/>
      <c r="M55" s="308">
        <f t="shared" si="8"/>
        <v>151</v>
      </c>
      <c r="P55" s="36">
        <v>6</v>
      </c>
      <c r="Q55" s="43">
        <v>151</v>
      </c>
      <c r="R55" s="41">
        <v>7.8287037037037044E-2</v>
      </c>
      <c r="S55" s="35">
        <v>1.1574074074074073E-5</v>
      </c>
      <c r="T55" s="37">
        <v>45</v>
      </c>
      <c r="U55" s="44">
        <v>151</v>
      </c>
      <c r="V55" s="240">
        <v>7.4224305555554981E-3</v>
      </c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44</v>
      </c>
      <c r="C56" s="63" t="str">
        <f t="shared" si="9"/>
        <v>CZE19960213</v>
      </c>
      <c r="D56" s="64" t="str">
        <f t="shared" si="10"/>
        <v xml:space="preserve">JUREČKA Jiří </v>
      </c>
      <c r="E56" s="65" t="str">
        <f t="shared" si="11"/>
        <v>KC KOOPERATIVA SG JABLONEC N.N</v>
      </c>
      <c r="F56" s="66">
        <f t="shared" si="12"/>
        <v>5366</v>
      </c>
      <c r="G56" s="67" t="str">
        <f t="shared" si="13"/>
        <v>JUNIOR</v>
      </c>
      <c r="H56" s="67" t="str">
        <f t="shared" si="14"/>
        <v>KOO</v>
      </c>
      <c r="I56" s="199">
        <f t="shared" si="15"/>
        <v>8.5698576388888878E-2</v>
      </c>
      <c r="J56" s="31">
        <f t="shared" si="16"/>
        <v>1.1814814814814639E-3</v>
      </c>
      <c r="K56" s="31"/>
      <c r="M56" s="308">
        <f t="shared" si="8"/>
        <v>44</v>
      </c>
      <c r="P56" s="36">
        <v>87</v>
      </c>
      <c r="Q56" s="43">
        <v>44</v>
      </c>
      <c r="R56" s="41">
        <v>7.8287037037037044E-2</v>
      </c>
      <c r="S56" s="35">
        <v>0</v>
      </c>
      <c r="T56" s="37">
        <v>44</v>
      </c>
      <c r="U56" s="44">
        <v>44</v>
      </c>
      <c r="V56" s="240">
        <v>7.4115393518518341E-3</v>
      </c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34</v>
      </c>
      <c r="C57" s="63" t="str">
        <f t="shared" si="9"/>
        <v>CZE19960513</v>
      </c>
      <c r="D57" s="64" t="str">
        <f t="shared" si="10"/>
        <v xml:space="preserve">SCHUBERT Štěpán </v>
      </c>
      <c r="E57" s="65" t="str">
        <f t="shared" si="11"/>
        <v xml:space="preserve">REMERX MERIDA TEAM JUNIOR </v>
      </c>
      <c r="F57" s="66">
        <f t="shared" si="12"/>
        <v>19574</v>
      </c>
      <c r="G57" s="67" t="str">
        <f t="shared" si="13"/>
        <v>JUNIOR</v>
      </c>
      <c r="H57" s="67" t="str">
        <f t="shared" si="14"/>
        <v>REM</v>
      </c>
      <c r="I57" s="199">
        <f t="shared" si="15"/>
        <v>8.5712048611111077E-2</v>
      </c>
      <c r="J57" s="31">
        <f t="shared" si="16"/>
        <v>1.1949537037036634E-3</v>
      </c>
      <c r="K57" s="31"/>
      <c r="M57" s="308">
        <f t="shared" si="8"/>
        <v>34</v>
      </c>
      <c r="P57" s="36">
        <v>28</v>
      </c>
      <c r="Q57" s="43">
        <v>34</v>
      </c>
      <c r="R57" s="41">
        <v>7.8287037037037044E-2</v>
      </c>
      <c r="S57" s="35">
        <v>0</v>
      </c>
      <c r="T57" s="37">
        <v>46</v>
      </c>
      <c r="U57" s="44">
        <v>34</v>
      </c>
      <c r="V57" s="240">
        <v>7.4250115740740336E-3</v>
      </c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24</v>
      </c>
      <c r="C58" s="63" t="str">
        <f t="shared" si="9"/>
        <v>GER19980223</v>
      </c>
      <c r="D58" s="64" t="str">
        <f t="shared" si="10"/>
        <v>PLAMBECK Philipp</v>
      </c>
      <c r="E58" s="65" t="str">
        <f t="shared" si="11"/>
        <v>RG BERLIN</v>
      </c>
      <c r="F58" s="66" t="str">
        <f t="shared" si="12"/>
        <v>HAM062726</v>
      </c>
      <c r="G58" s="67" t="str">
        <f t="shared" si="13"/>
        <v>CADET</v>
      </c>
      <c r="H58" s="67" t="str">
        <f t="shared" si="14"/>
        <v>RGB</v>
      </c>
      <c r="I58" s="199">
        <f t="shared" si="15"/>
        <v>8.5716666666666719E-2</v>
      </c>
      <c r="J58" s="31">
        <f t="shared" si="16"/>
        <v>1.1995717592593047E-3</v>
      </c>
      <c r="K58" s="31"/>
      <c r="M58" s="308">
        <f t="shared" si="8"/>
        <v>24</v>
      </c>
      <c r="P58" s="36">
        <v>34</v>
      </c>
      <c r="Q58" s="43">
        <v>24</v>
      </c>
      <c r="R58" s="41">
        <v>7.8287037037037044E-2</v>
      </c>
      <c r="S58" s="35">
        <v>0</v>
      </c>
      <c r="T58" s="37">
        <v>47</v>
      </c>
      <c r="U58" s="44">
        <v>24</v>
      </c>
      <c r="V58" s="240">
        <v>7.4296296296296679E-3</v>
      </c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144</v>
      </c>
      <c r="C59" s="63" t="str">
        <f t="shared" si="9"/>
        <v>CZE19961220</v>
      </c>
      <c r="D59" s="64" t="str">
        <f t="shared" si="10"/>
        <v xml:space="preserve">LOVEČEK Adam </v>
      </c>
      <c r="E59" s="65" t="str">
        <f t="shared" si="11"/>
        <v xml:space="preserve">MAPEI CYKLO KAŇKOVSKÝ </v>
      </c>
      <c r="F59" s="66">
        <f t="shared" si="12"/>
        <v>19339</v>
      </c>
      <c r="G59" s="67" t="str">
        <f t="shared" si="13"/>
        <v>JUNIOR</v>
      </c>
      <c r="H59" s="67" t="str">
        <f t="shared" si="14"/>
        <v>MAP</v>
      </c>
      <c r="I59" s="199">
        <f t="shared" si="15"/>
        <v>8.5716747685185182E-2</v>
      </c>
      <c r="J59" s="31">
        <f t="shared" si="16"/>
        <v>1.1996527777777682E-3</v>
      </c>
      <c r="K59" s="31"/>
      <c r="M59" s="308">
        <f t="shared" si="8"/>
        <v>144</v>
      </c>
      <c r="P59" s="36">
        <v>80</v>
      </c>
      <c r="Q59" s="43">
        <v>144</v>
      </c>
      <c r="R59" s="41">
        <v>7.8287037037037044E-2</v>
      </c>
      <c r="S59" s="35">
        <v>0</v>
      </c>
      <c r="T59" s="37">
        <v>48</v>
      </c>
      <c r="U59" s="44">
        <v>144</v>
      </c>
      <c r="V59" s="240">
        <v>7.4297106481481384E-3</v>
      </c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22</v>
      </c>
      <c r="C60" s="63" t="str">
        <f t="shared" si="9"/>
        <v>GER19980505</v>
      </c>
      <c r="D60" s="64" t="str">
        <f t="shared" si="10"/>
        <v>HAUPT Tarik</v>
      </c>
      <c r="E60" s="65" t="str">
        <f t="shared" si="11"/>
        <v>RG BERLIN</v>
      </c>
      <c r="F60" s="66" t="str">
        <f t="shared" si="12"/>
        <v>BER 032308</v>
      </c>
      <c r="G60" s="67" t="str">
        <f t="shared" si="13"/>
        <v>CADET</v>
      </c>
      <c r="H60" s="67" t="str">
        <f t="shared" si="14"/>
        <v>RGB</v>
      </c>
      <c r="I60" s="199">
        <f t="shared" si="15"/>
        <v>8.5732754629629676E-2</v>
      </c>
      <c r="J60" s="31">
        <f t="shared" si="16"/>
        <v>1.215659722222262E-3</v>
      </c>
      <c r="K60" s="31"/>
      <c r="M60" s="308">
        <f t="shared" si="8"/>
        <v>22</v>
      </c>
      <c r="P60" s="36">
        <v>29</v>
      </c>
      <c r="Q60" s="43">
        <v>22</v>
      </c>
      <c r="R60" s="41">
        <v>7.8287037037037044E-2</v>
      </c>
      <c r="S60" s="35">
        <v>0</v>
      </c>
      <c r="T60" s="37">
        <v>49</v>
      </c>
      <c r="U60" s="44">
        <v>22</v>
      </c>
      <c r="V60" s="240">
        <v>7.4457175925926253E-3</v>
      </c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41</v>
      </c>
      <c r="C61" s="63" t="str">
        <f t="shared" si="9"/>
        <v>CZE19960310</v>
      </c>
      <c r="D61" s="64" t="str">
        <f t="shared" si="10"/>
        <v xml:space="preserve">ŠULC Jakub </v>
      </c>
      <c r="E61" s="65" t="str">
        <f t="shared" si="11"/>
        <v xml:space="preserve">KOLA-BBM.CZ </v>
      </c>
      <c r="F61" s="66">
        <f t="shared" si="12"/>
        <v>3358</v>
      </c>
      <c r="G61" s="67" t="str">
        <f t="shared" si="13"/>
        <v>JUNIOR</v>
      </c>
      <c r="H61" s="67" t="str">
        <f t="shared" si="14"/>
        <v>KOO</v>
      </c>
      <c r="I61" s="199">
        <f t="shared" si="15"/>
        <v>8.5737824074074043E-2</v>
      </c>
      <c r="J61" s="31">
        <f t="shared" si="16"/>
        <v>1.2207291666666287E-3</v>
      </c>
      <c r="K61" s="31"/>
      <c r="M61" s="308">
        <f t="shared" si="8"/>
        <v>41</v>
      </c>
      <c r="P61" s="36">
        <v>94</v>
      </c>
      <c r="Q61" s="43">
        <v>41</v>
      </c>
      <c r="R61" s="41">
        <v>7.8287037037037044E-2</v>
      </c>
      <c r="S61" s="35">
        <v>0</v>
      </c>
      <c r="T61" s="37">
        <v>50</v>
      </c>
      <c r="U61" s="44">
        <v>41</v>
      </c>
      <c r="V61" s="240">
        <v>7.4507870370370023E-3</v>
      </c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165</v>
      </c>
      <c r="C62" s="63" t="str">
        <f t="shared" si="9"/>
        <v>RUS19960517</v>
      </c>
      <c r="D62" s="64" t="str">
        <f t="shared" si="10"/>
        <v xml:space="preserve">MARTYSHEV Aleksandr </v>
      </c>
      <c r="E62" s="65" t="str">
        <f t="shared" si="11"/>
        <v>RUSSIAN CYCLING FEDERATION</v>
      </c>
      <c r="F62" s="66" t="str">
        <f t="shared" si="12"/>
        <v>B0270</v>
      </c>
      <c r="G62" s="67" t="str">
        <f t="shared" si="13"/>
        <v>JUNIOR</v>
      </c>
      <c r="H62" s="67" t="str">
        <f t="shared" si="14"/>
        <v>RUS</v>
      </c>
      <c r="I62" s="199">
        <f t="shared" si="15"/>
        <v>8.5745590277777811E-2</v>
      </c>
      <c r="J62" s="31">
        <f t="shared" si="16"/>
        <v>1.2284953703703971E-3</v>
      </c>
      <c r="K62" s="31"/>
      <c r="M62" s="308">
        <f t="shared" si="8"/>
        <v>165</v>
      </c>
      <c r="P62" s="36">
        <v>12</v>
      </c>
      <c r="Q62" s="43">
        <v>165</v>
      </c>
      <c r="R62" s="41">
        <v>7.8287037037037044E-2</v>
      </c>
      <c r="S62" s="35">
        <v>0</v>
      </c>
      <c r="T62" s="37">
        <v>51</v>
      </c>
      <c r="U62" s="44">
        <v>165</v>
      </c>
      <c r="V62" s="240">
        <v>7.4585532407407673E-3</v>
      </c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132</v>
      </c>
      <c r="C63" s="63" t="str">
        <f t="shared" si="9"/>
        <v>AUT19961021</v>
      </c>
      <c r="D63" s="64" t="str">
        <f t="shared" si="10"/>
        <v>KNAPP Daniel</v>
      </c>
      <c r="E63" s="65" t="str">
        <f t="shared" si="11"/>
        <v>UNION RAIFFEISEN RADTEAM TIROL</v>
      </c>
      <c r="F63" s="66">
        <f t="shared" si="12"/>
        <v>100480</v>
      </c>
      <c r="G63" s="67" t="str">
        <f t="shared" si="13"/>
        <v>JUNIOR</v>
      </c>
      <c r="H63" s="67" t="str">
        <f t="shared" si="14"/>
        <v>RCA</v>
      </c>
      <c r="I63" s="199">
        <f t="shared" si="15"/>
        <v>8.5770462962962937E-2</v>
      </c>
      <c r="J63" s="31">
        <f t="shared" si="16"/>
        <v>1.2533680555555232E-3</v>
      </c>
      <c r="K63" s="31"/>
      <c r="M63" s="308">
        <f t="shared" si="8"/>
        <v>132</v>
      </c>
      <c r="P63" s="36">
        <v>64</v>
      </c>
      <c r="Q63" s="43">
        <v>132</v>
      </c>
      <c r="R63" s="41">
        <v>7.8287037037037044E-2</v>
      </c>
      <c r="S63" s="35">
        <v>3.4722222222222222E-5</v>
      </c>
      <c r="T63" s="37">
        <v>55</v>
      </c>
      <c r="U63" s="44">
        <v>132</v>
      </c>
      <c r="V63" s="240">
        <v>7.518148148148121E-3</v>
      </c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58</v>
      </c>
      <c r="C64" s="63" t="str">
        <f t="shared" si="9"/>
        <v>CZE19970902</v>
      </c>
      <c r="D64" s="64" t="str">
        <f t="shared" si="10"/>
        <v xml:space="preserve">VÝVODA Jan </v>
      </c>
      <c r="E64" s="65" t="str">
        <f t="shared" si="11"/>
        <v xml:space="preserve">TJ SIGMA HRANICE </v>
      </c>
      <c r="F64" s="66">
        <f t="shared" si="12"/>
        <v>7780</v>
      </c>
      <c r="G64" s="67" t="str">
        <f t="shared" si="13"/>
        <v>JUNIOR*</v>
      </c>
      <c r="H64" s="67" t="str">
        <f t="shared" si="14"/>
        <v>GLI</v>
      </c>
      <c r="I64" s="199">
        <f t="shared" si="15"/>
        <v>8.5775567129629637E-2</v>
      </c>
      <c r="J64" s="31">
        <f t="shared" si="16"/>
        <v>1.2584722222222233E-3</v>
      </c>
      <c r="K64" s="31"/>
      <c r="M64" s="308">
        <f t="shared" si="8"/>
        <v>58</v>
      </c>
      <c r="P64" s="36">
        <v>73</v>
      </c>
      <c r="Q64" s="43">
        <v>58</v>
      </c>
      <c r="R64" s="41">
        <v>7.8287037037037044E-2</v>
      </c>
      <c r="S64" s="35">
        <v>0</v>
      </c>
      <c r="T64" s="37">
        <v>53</v>
      </c>
      <c r="U64" s="44">
        <v>58</v>
      </c>
      <c r="V64" s="240">
        <v>7.4885300925925935E-3</v>
      </c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106</v>
      </c>
      <c r="C65" s="63" t="str">
        <f t="shared" si="9"/>
        <v>CZE19970109</v>
      </c>
      <c r="D65" s="64" t="str">
        <f t="shared" si="10"/>
        <v xml:space="preserve">SVATEK Miroslav </v>
      </c>
      <c r="E65" s="65" t="str">
        <f t="shared" si="11"/>
        <v xml:space="preserve">PROFI SPORT CHEB </v>
      </c>
      <c r="F65" s="66">
        <f t="shared" si="12"/>
        <v>9623</v>
      </c>
      <c r="G65" s="67" t="str">
        <f t="shared" si="13"/>
        <v>JUNIOR*</v>
      </c>
      <c r="H65" s="67" t="str">
        <f t="shared" si="14"/>
        <v>LOU</v>
      </c>
      <c r="I65" s="199">
        <f t="shared" si="15"/>
        <v>8.5807847222222219E-2</v>
      </c>
      <c r="J65" s="31">
        <f t="shared" si="16"/>
        <v>1.2907523148148053E-3</v>
      </c>
      <c r="K65" s="31"/>
      <c r="M65" s="308">
        <f t="shared" si="8"/>
        <v>106</v>
      </c>
      <c r="P65" s="36">
        <v>23</v>
      </c>
      <c r="Q65" s="43">
        <v>106</v>
      </c>
      <c r="R65" s="41">
        <v>7.8287037037037044E-2</v>
      </c>
      <c r="S65" s="35">
        <v>0</v>
      </c>
      <c r="T65" s="37">
        <v>56</v>
      </c>
      <c r="U65" s="44">
        <v>106</v>
      </c>
      <c r="V65" s="240">
        <v>7.5208101851851755E-3</v>
      </c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82</v>
      </c>
      <c r="C66" s="63" t="str">
        <f t="shared" si="9"/>
        <v>CZE19960127</v>
      </c>
      <c r="D66" s="64" t="str">
        <f t="shared" si="10"/>
        <v xml:space="preserve">ŠIPOŠ Marek </v>
      </c>
      <c r="E66" s="65" t="str">
        <f t="shared" si="11"/>
        <v xml:space="preserve">TJ KOVO PRAHA </v>
      </c>
      <c r="F66" s="66">
        <f t="shared" si="12"/>
        <v>17984</v>
      </c>
      <c r="G66" s="67" t="str">
        <f t="shared" si="13"/>
        <v>JUNIOR</v>
      </c>
      <c r="H66" s="67" t="str">
        <f t="shared" si="14"/>
        <v>KOV</v>
      </c>
      <c r="I66" s="199">
        <f t="shared" si="15"/>
        <v>8.5809606481481532E-2</v>
      </c>
      <c r="J66" s="31">
        <f t="shared" si="16"/>
        <v>1.2925115740741178E-3</v>
      </c>
      <c r="K66" s="31"/>
      <c r="M66" s="308">
        <f t="shared" si="8"/>
        <v>82</v>
      </c>
      <c r="P66" s="36">
        <v>81</v>
      </c>
      <c r="Q66" s="43">
        <v>82</v>
      </c>
      <c r="R66" s="41">
        <v>7.8287037037037044E-2</v>
      </c>
      <c r="S66" s="35">
        <v>0</v>
      </c>
      <c r="T66" s="37">
        <v>57</v>
      </c>
      <c r="U66" s="44">
        <v>82</v>
      </c>
      <c r="V66" s="240">
        <v>7.5225694444444879E-3</v>
      </c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50</v>
      </c>
      <c r="C67" s="63" t="str">
        <f t="shared" si="9"/>
        <v>CZE19960203</v>
      </c>
      <c r="D67" s="64" t="str">
        <f t="shared" si="10"/>
        <v xml:space="preserve">VRÁNA Dominik </v>
      </c>
      <c r="E67" s="65" t="str">
        <f t="shared" si="11"/>
        <v>KC KOOPERATIVA SG JABLONEC N.N</v>
      </c>
      <c r="F67" s="66">
        <f t="shared" si="12"/>
        <v>8884</v>
      </c>
      <c r="G67" s="67" t="str">
        <f t="shared" si="13"/>
        <v>JUNIOR</v>
      </c>
      <c r="H67" s="67" t="str">
        <f t="shared" si="14"/>
        <v>KOO</v>
      </c>
      <c r="I67" s="199">
        <f t="shared" si="15"/>
        <v>8.5821192129629686E-2</v>
      </c>
      <c r="J67" s="31">
        <f t="shared" si="16"/>
        <v>1.3040972222222724E-3</v>
      </c>
      <c r="K67" s="31"/>
      <c r="M67" s="308">
        <f t="shared" si="8"/>
        <v>50</v>
      </c>
      <c r="P67" s="36">
        <v>99</v>
      </c>
      <c r="Q67" s="43">
        <v>50</v>
      </c>
      <c r="R67" s="41">
        <v>7.8287037037037044E-2</v>
      </c>
      <c r="S67" s="35">
        <v>0</v>
      </c>
      <c r="T67" s="37">
        <v>58</v>
      </c>
      <c r="U67" s="44">
        <v>50</v>
      </c>
      <c r="V67" s="240">
        <v>7.5341550925926374E-3</v>
      </c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107</v>
      </c>
      <c r="C68" s="63" t="str">
        <f t="shared" si="9"/>
        <v>CZE19970110</v>
      </c>
      <c r="D68" s="64" t="str">
        <f t="shared" si="10"/>
        <v xml:space="preserve">KŘIKAVA Jakub </v>
      </c>
      <c r="E68" s="65" t="str">
        <f t="shared" si="11"/>
        <v xml:space="preserve">TJ ZČE CYKLISTIKA PLZEŇ </v>
      </c>
      <c r="F68" s="66">
        <f t="shared" si="12"/>
        <v>9167</v>
      </c>
      <c r="G68" s="67" t="str">
        <f t="shared" si="13"/>
        <v>JUNIOR*</v>
      </c>
      <c r="H68" s="67" t="str">
        <f t="shared" si="14"/>
        <v>LOU</v>
      </c>
      <c r="I68" s="199">
        <f t="shared" si="15"/>
        <v>8.5824363425925934E-2</v>
      </c>
      <c r="J68" s="31">
        <f t="shared" si="16"/>
        <v>1.3072685185185201E-3</v>
      </c>
      <c r="K68" s="31"/>
      <c r="M68" s="308">
        <f t="shared" si="8"/>
        <v>107</v>
      </c>
      <c r="P68" s="36">
        <v>82</v>
      </c>
      <c r="Q68" s="43">
        <v>107</v>
      </c>
      <c r="R68" s="41">
        <v>7.8287037037037044E-2</v>
      </c>
      <c r="S68" s="35">
        <v>0</v>
      </c>
      <c r="T68" s="37">
        <v>59</v>
      </c>
      <c r="U68" s="44">
        <v>107</v>
      </c>
      <c r="V68" s="240">
        <v>7.5373263888888903E-3</v>
      </c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147</v>
      </c>
      <c r="C69" s="63" t="str">
        <f t="shared" si="9"/>
        <v>CZE19960618</v>
      </c>
      <c r="D69" s="64" t="str">
        <f t="shared" si="10"/>
        <v xml:space="preserve">PETRUŠ Jiří </v>
      </c>
      <c r="E69" s="65" t="str">
        <f t="shared" si="11"/>
        <v xml:space="preserve">MAPEI CYKLO KAŇKOVSKÝ </v>
      </c>
      <c r="F69" s="66">
        <f t="shared" si="12"/>
        <v>12841</v>
      </c>
      <c r="G69" s="67" t="str">
        <f t="shared" si="13"/>
        <v>JUNIOR</v>
      </c>
      <c r="H69" s="67" t="str">
        <f t="shared" si="14"/>
        <v>MAP</v>
      </c>
      <c r="I69" s="199">
        <f t="shared" si="15"/>
        <v>8.5832569444444395E-2</v>
      </c>
      <c r="J69" s="31">
        <f t="shared" si="16"/>
        <v>1.3154745370369814E-3</v>
      </c>
      <c r="K69" s="31"/>
      <c r="M69" s="308">
        <f t="shared" si="8"/>
        <v>147</v>
      </c>
      <c r="P69" s="36">
        <v>17</v>
      </c>
      <c r="Q69" s="43">
        <v>147</v>
      </c>
      <c r="R69" s="41">
        <v>7.8287037037037044E-2</v>
      </c>
      <c r="S69" s="35">
        <v>0</v>
      </c>
      <c r="T69" s="37">
        <v>60</v>
      </c>
      <c r="U69" s="44">
        <v>147</v>
      </c>
      <c r="V69" s="240">
        <v>7.5455324074073515E-3</v>
      </c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59</v>
      </c>
      <c r="C70" s="63" t="str">
        <f t="shared" si="9"/>
        <v>CZE19960727</v>
      </c>
      <c r="D70" s="64" t="str">
        <f t="shared" si="10"/>
        <v xml:space="preserve">PREJDA Václav </v>
      </c>
      <c r="E70" s="65" t="str">
        <f t="shared" si="11"/>
        <v xml:space="preserve">SK JIŘÍ TEAM OSTRAVA </v>
      </c>
      <c r="F70" s="66">
        <f t="shared" si="12"/>
        <v>16035</v>
      </c>
      <c r="G70" s="67" t="str">
        <f t="shared" si="13"/>
        <v>JUNIOR</v>
      </c>
      <c r="H70" s="67" t="str">
        <f t="shared" si="14"/>
        <v>GLI</v>
      </c>
      <c r="I70" s="199">
        <f t="shared" si="15"/>
        <v>8.5852511574074086E-2</v>
      </c>
      <c r="J70" s="31">
        <f t="shared" si="16"/>
        <v>1.3354166666666722E-3</v>
      </c>
      <c r="K70" s="31"/>
      <c r="M70" s="308">
        <f t="shared" si="8"/>
        <v>59</v>
      </c>
      <c r="P70" s="36">
        <v>107</v>
      </c>
      <c r="Q70" s="43">
        <v>59</v>
      </c>
      <c r="R70" s="41">
        <v>7.8287037037037044E-2</v>
      </c>
      <c r="S70" s="35">
        <v>0</v>
      </c>
      <c r="T70" s="37">
        <v>61</v>
      </c>
      <c r="U70" s="44">
        <v>59</v>
      </c>
      <c r="V70" s="240">
        <v>7.5654745370370355E-3</v>
      </c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48</v>
      </c>
      <c r="C71" s="63" t="str">
        <f t="shared" si="9"/>
        <v>CZE19981009</v>
      </c>
      <c r="D71" s="64" t="str">
        <f t="shared" si="10"/>
        <v xml:space="preserve">SIRŮČEK Václav </v>
      </c>
      <c r="E71" s="65" t="str">
        <f t="shared" si="11"/>
        <v>KC KOOPERATIVA SG JABLONEC N.N</v>
      </c>
      <c r="F71" s="66">
        <f t="shared" si="12"/>
        <v>8749</v>
      </c>
      <c r="G71" s="67" t="str">
        <f t="shared" si="13"/>
        <v>CADET</v>
      </c>
      <c r="H71" s="67" t="str">
        <f t="shared" si="14"/>
        <v>KOO</v>
      </c>
      <c r="I71" s="199">
        <f t="shared" si="15"/>
        <v>8.5856712962962961E-2</v>
      </c>
      <c r="J71" s="31">
        <f t="shared" si="16"/>
        <v>1.339618055555547E-3</v>
      </c>
      <c r="K71" s="31"/>
      <c r="M71" s="308">
        <f t="shared" si="8"/>
        <v>48</v>
      </c>
      <c r="P71" s="36">
        <v>30</v>
      </c>
      <c r="Q71" s="43">
        <v>48</v>
      </c>
      <c r="R71" s="41">
        <v>7.8287037037037044E-2</v>
      </c>
      <c r="S71" s="35">
        <v>0</v>
      </c>
      <c r="T71" s="37">
        <v>62</v>
      </c>
      <c r="U71" s="44">
        <v>48</v>
      </c>
      <c r="V71" s="240">
        <v>7.5696759259259103E-3</v>
      </c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12</v>
      </c>
      <c r="C72" s="63" t="str">
        <f t="shared" si="9"/>
        <v>GER19960405</v>
      </c>
      <c r="D72" s="64" t="str">
        <f t="shared" si="10"/>
        <v>WITTE Reinhard</v>
      </c>
      <c r="E72" s="65" t="str">
        <f t="shared" si="11"/>
        <v>JUNIOREN SCHWALBE TEAM SACHSEN</v>
      </c>
      <c r="F72" s="66" t="str">
        <f t="shared" si="12"/>
        <v>SAC 141671</v>
      </c>
      <c r="G72" s="67" t="str">
        <f t="shared" si="13"/>
        <v>JUNIOR</v>
      </c>
      <c r="H72" s="67" t="str">
        <f t="shared" si="14"/>
        <v>SCW</v>
      </c>
      <c r="I72" s="199">
        <f t="shared" si="15"/>
        <v>8.5881620370370379E-2</v>
      </c>
      <c r="J72" s="31">
        <f t="shared" si="16"/>
        <v>1.364525462962965E-3</v>
      </c>
      <c r="K72" s="31"/>
      <c r="M72" s="308">
        <f t="shared" si="8"/>
        <v>12</v>
      </c>
      <c r="P72" s="36">
        <v>42</v>
      </c>
      <c r="Q72" s="43">
        <v>12</v>
      </c>
      <c r="R72" s="41">
        <v>7.8287037037037044E-2</v>
      </c>
      <c r="S72" s="35">
        <v>1.1574074074074073E-5</v>
      </c>
      <c r="T72" s="37">
        <v>63</v>
      </c>
      <c r="U72" s="44">
        <v>12</v>
      </c>
      <c r="V72" s="240">
        <v>7.6061574074074156E-3</v>
      </c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63</v>
      </c>
      <c r="C73" s="63" t="str">
        <f t="shared" si="9"/>
        <v>POL19960116</v>
      </c>
      <c r="D73" s="64" t="str">
        <f t="shared" si="10"/>
        <v>GORZAWSKI Kamil</v>
      </c>
      <c r="E73" s="65" t="str">
        <f t="shared" si="11"/>
        <v xml:space="preserve">DSR AUTHOR GÓRNIK WAŁBRZYCH </v>
      </c>
      <c r="F73" s="66" t="str">
        <f t="shared" si="12"/>
        <v>DLS164</v>
      </c>
      <c r="G73" s="67" t="str">
        <f t="shared" si="13"/>
        <v>JUNIOR</v>
      </c>
      <c r="H73" s="67" t="str">
        <f t="shared" si="14"/>
        <v>GOR</v>
      </c>
      <c r="I73" s="199">
        <f t="shared" si="15"/>
        <v>8.5908692129629621E-2</v>
      </c>
      <c r="J73" s="31">
        <f t="shared" si="16"/>
        <v>1.3915972222222073E-3</v>
      </c>
      <c r="K73" s="31"/>
      <c r="M73" s="308">
        <f t="shared" si="8"/>
        <v>63</v>
      </c>
      <c r="P73" s="36">
        <v>35</v>
      </c>
      <c r="Q73" s="43">
        <v>63</v>
      </c>
      <c r="R73" s="41">
        <v>7.8287037037037044E-2</v>
      </c>
      <c r="S73" s="35">
        <v>0</v>
      </c>
      <c r="T73" s="37">
        <v>64</v>
      </c>
      <c r="U73" s="44">
        <v>63</v>
      </c>
      <c r="V73" s="240">
        <v>7.6216550925925844E-3</v>
      </c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13</v>
      </c>
      <c r="C74" s="63" t="str">
        <f t="shared" si="9"/>
        <v>GER19970125</v>
      </c>
      <c r="D74" s="64" t="str">
        <f t="shared" si="10"/>
        <v>FRANZ Toni</v>
      </c>
      <c r="E74" s="65" t="str">
        <f t="shared" si="11"/>
        <v>JUNIOREN SCHWALBE TEAM SACHSEN</v>
      </c>
      <c r="F74" s="66" t="str">
        <f t="shared" si="12"/>
        <v xml:space="preserve">SAC 134961 </v>
      </c>
      <c r="G74" s="67" t="str">
        <f t="shared" si="13"/>
        <v>JUNIOR*</v>
      </c>
      <c r="H74" s="67" t="str">
        <f t="shared" si="14"/>
        <v>SCW</v>
      </c>
      <c r="I74" s="199">
        <f t="shared" si="15"/>
        <v>8.5913078703703696E-2</v>
      </c>
      <c r="J74" s="31">
        <f t="shared" si="16"/>
        <v>1.3959837962962823E-3</v>
      </c>
      <c r="K74" s="31"/>
      <c r="M74" s="308">
        <f t="shared" si="8"/>
        <v>13</v>
      </c>
      <c r="P74" s="36">
        <v>98</v>
      </c>
      <c r="Q74" s="43">
        <v>13</v>
      </c>
      <c r="R74" s="41">
        <v>7.8287037037037044E-2</v>
      </c>
      <c r="S74" s="35">
        <v>0</v>
      </c>
      <c r="T74" s="37">
        <v>65</v>
      </c>
      <c r="U74" s="44">
        <v>13</v>
      </c>
      <c r="V74" s="240">
        <v>7.6260416666666577E-3</v>
      </c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49</v>
      </c>
      <c r="C75" s="63" t="str">
        <f t="shared" si="9"/>
        <v>CZE19960703</v>
      </c>
      <c r="D75" s="64" t="str">
        <f t="shared" si="10"/>
        <v xml:space="preserve">ŠÍREK Adrian </v>
      </c>
      <c r="E75" s="65" t="str">
        <f t="shared" si="11"/>
        <v>KC KOOPERATIVA SG JABLONEC N.N</v>
      </c>
      <c r="F75" s="66">
        <f t="shared" si="12"/>
        <v>12955</v>
      </c>
      <c r="G75" s="67" t="str">
        <f t="shared" si="13"/>
        <v>JUNIOR</v>
      </c>
      <c r="H75" s="67" t="str">
        <f t="shared" si="14"/>
        <v>KOO</v>
      </c>
      <c r="I75" s="199">
        <f t="shared" si="15"/>
        <v>8.5920833333333363E-2</v>
      </c>
      <c r="J75" s="31">
        <f t="shared" si="16"/>
        <v>1.4037384259259489E-3</v>
      </c>
      <c r="K75" s="31"/>
      <c r="M75" s="308">
        <f t="shared" si="8"/>
        <v>49</v>
      </c>
      <c r="P75" s="36">
        <v>31</v>
      </c>
      <c r="Q75" s="43">
        <v>49</v>
      </c>
      <c r="R75" s="41">
        <v>7.8287037037037044E-2</v>
      </c>
      <c r="S75" s="35">
        <v>0</v>
      </c>
      <c r="T75" s="37">
        <v>66</v>
      </c>
      <c r="U75" s="44">
        <v>49</v>
      </c>
      <c r="V75" s="240">
        <v>7.633796296296326E-3</v>
      </c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8</v>
      </c>
      <c r="C76" s="63" t="str">
        <f t="shared" ref="C76:C107" si="17">VLOOKUP(B76,STARTOVKA,2,0)</f>
        <v>GER19980416</v>
      </c>
      <c r="D76" s="64" t="str">
        <f t="shared" ref="D76:D107" si="18">VLOOKUP(B76,STARTOVKA,3,0)</f>
        <v>KÄßMANN Fabian</v>
      </c>
      <c r="E76" s="65" t="str">
        <f t="shared" ref="E76:E107" si="19">VLOOKUP(B76,STARTOVKA,4,0)</f>
        <v>1.RSV 1886 GREIZ</v>
      </c>
      <c r="F76" s="66" t="str">
        <f t="shared" ref="F76:F107" si="20">VLOOKUP(B76,STARTOVKA,5,0)</f>
        <v>THÜ173410</v>
      </c>
      <c r="G76" s="67" t="str">
        <f t="shared" ref="G76:G107" si="21">VLOOKUP(B76,STARTOVKA,6,0)</f>
        <v>CADET</v>
      </c>
      <c r="H76" s="67" t="str">
        <f t="shared" ref="H76:H107" si="22">VLOOKUP(B76,STARTOVKA,7,0)</f>
        <v>TUR</v>
      </c>
      <c r="I76" s="199">
        <f t="shared" ref="I76:I107" si="23">SUM(R76,V76,Z76,AD76)-SUM(S76,W76,AA76,AE76)+AF76</f>
        <v>8.5959293981481527E-2</v>
      </c>
      <c r="J76" s="31">
        <f t="shared" ref="J76:J107" si="24">I76-$I$12</f>
        <v>1.4421990740741131E-3</v>
      </c>
      <c r="K76" s="31"/>
      <c r="M76" s="308">
        <f t="shared" si="8"/>
        <v>8</v>
      </c>
      <c r="P76" s="36">
        <v>41</v>
      </c>
      <c r="Q76" s="43">
        <v>8</v>
      </c>
      <c r="R76" s="41">
        <v>7.8287037037037044E-2</v>
      </c>
      <c r="S76" s="35">
        <v>0</v>
      </c>
      <c r="T76" s="37">
        <v>67</v>
      </c>
      <c r="U76" s="44">
        <v>8</v>
      </c>
      <c r="V76" s="240">
        <v>7.6722569444444763E-3</v>
      </c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85</v>
      </c>
      <c r="C77" s="63" t="str">
        <f t="shared" si="17"/>
        <v>CZE19970804</v>
      </c>
      <c r="D77" s="64" t="str">
        <f t="shared" si="18"/>
        <v xml:space="preserve">SPUDIL Martin </v>
      </c>
      <c r="E77" s="65" t="str">
        <f t="shared" si="19"/>
        <v xml:space="preserve">SP KOLO LOAP SPECIALIZED </v>
      </c>
      <c r="F77" s="66">
        <f t="shared" si="20"/>
        <v>10880</v>
      </c>
      <c r="G77" s="67" t="str">
        <f t="shared" si="21"/>
        <v>JUNIOR*</v>
      </c>
      <c r="H77" s="67" t="str">
        <f t="shared" si="22"/>
        <v>KOV</v>
      </c>
      <c r="I77" s="199">
        <f t="shared" si="23"/>
        <v>8.5961898148148155E-2</v>
      </c>
      <c r="J77" s="31">
        <f t="shared" si="24"/>
        <v>1.4448032407407413E-3</v>
      </c>
      <c r="K77" s="31"/>
      <c r="M77" s="308">
        <f t="shared" ref="M77:M140" si="25">B77</f>
        <v>85</v>
      </c>
      <c r="P77" s="36">
        <v>15</v>
      </c>
      <c r="Q77" s="43">
        <v>85</v>
      </c>
      <c r="R77" s="41">
        <v>7.8287037037037044E-2</v>
      </c>
      <c r="S77" s="35">
        <v>0</v>
      </c>
      <c r="T77" s="37">
        <v>68</v>
      </c>
      <c r="U77" s="44">
        <v>85</v>
      </c>
      <c r="V77" s="240">
        <v>7.6748611111111115E-3</v>
      </c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148</v>
      </c>
      <c r="C78" s="63" t="str">
        <f t="shared" si="17"/>
        <v>CZE19960522</v>
      </c>
      <c r="D78" s="64" t="str">
        <f t="shared" si="18"/>
        <v xml:space="preserve">PUDL Tomáš </v>
      </c>
      <c r="E78" s="65" t="str">
        <f t="shared" si="19"/>
        <v xml:space="preserve">MAPEI CYKLO KAŇKOVSKÝ </v>
      </c>
      <c r="F78" s="66">
        <f t="shared" si="20"/>
        <v>19342</v>
      </c>
      <c r="G78" s="67" t="str">
        <f t="shared" si="21"/>
        <v>JUNIOR</v>
      </c>
      <c r="H78" s="67" t="str">
        <f t="shared" si="22"/>
        <v>MAP</v>
      </c>
      <c r="I78" s="199">
        <f t="shared" si="23"/>
        <v>8.5963333333333322E-2</v>
      </c>
      <c r="J78" s="31">
        <f t="shared" si="24"/>
        <v>1.4462384259259081E-3</v>
      </c>
      <c r="K78" s="31"/>
      <c r="M78" s="308">
        <f t="shared" si="25"/>
        <v>148</v>
      </c>
      <c r="P78" s="36">
        <v>40</v>
      </c>
      <c r="Q78" s="43">
        <v>148</v>
      </c>
      <c r="R78" s="41">
        <v>7.8287037037037044E-2</v>
      </c>
      <c r="S78" s="35">
        <v>0</v>
      </c>
      <c r="T78" s="37">
        <v>69</v>
      </c>
      <c r="U78" s="44">
        <v>148</v>
      </c>
      <c r="V78" s="240">
        <v>7.6762962962962783E-3</v>
      </c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101</v>
      </c>
      <c r="C79" s="63" t="str">
        <f t="shared" si="17"/>
        <v>CZE19970829</v>
      </c>
      <c r="D79" s="64" t="str">
        <f t="shared" si="18"/>
        <v xml:space="preserve">BAŘTIPÁN Josef </v>
      </c>
      <c r="E79" s="65" t="str">
        <f t="shared" si="19"/>
        <v xml:space="preserve">TJ STADION LOUNY </v>
      </c>
      <c r="F79" s="66">
        <f t="shared" si="20"/>
        <v>9818</v>
      </c>
      <c r="G79" s="67" t="str">
        <f t="shared" si="21"/>
        <v>JUNIOR*</v>
      </c>
      <c r="H79" s="67" t="str">
        <f t="shared" si="22"/>
        <v>LOU</v>
      </c>
      <c r="I79" s="199">
        <f t="shared" si="23"/>
        <v>8.5988101851851878E-2</v>
      </c>
      <c r="J79" s="31">
        <f t="shared" si="24"/>
        <v>1.471006944444464E-3</v>
      </c>
      <c r="K79" s="31"/>
      <c r="M79" s="308">
        <f t="shared" si="25"/>
        <v>101</v>
      </c>
      <c r="P79" s="36">
        <v>20</v>
      </c>
      <c r="Q79" s="43">
        <v>101</v>
      </c>
      <c r="R79" s="41">
        <v>7.8287037037037044E-2</v>
      </c>
      <c r="S79" s="35">
        <v>0</v>
      </c>
      <c r="T79" s="37">
        <v>71</v>
      </c>
      <c r="U79" s="44">
        <v>101</v>
      </c>
      <c r="V79" s="240">
        <v>7.7010648148148342E-3</v>
      </c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6</v>
      </c>
      <c r="C80" s="63" t="str">
        <f t="shared" si="17"/>
        <v>GER19970811</v>
      </c>
      <c r="D80" s="64" t="str">
        <f t="shared" si="18"/>
        <v>LINTZEL Philip</v>
      </c>
      <c r="E80" s="65" t="str">
        <f t="shared" si="19"/>
        <v>RSC TURBINE ERFURT</v>
      </c>
      <c r="F80" s="66" t="str">
        <f t="shared" si="20"/>
        <v>THÜ173079</v>
      </c>
      <c r="G80" s="67" t="str">
        <f t="shared" si="21"/>
        <v>JUNIOR*</v>
      </c>
      <c r="H80" s="67" t="str">
        <f t="shared" si="22"/>
        <v>TUR</v>
      </c>
      <c r="I80" s="199">
        <f t="shared" si="23"/>
        <v>8.5990150462962961E-2</v>
      </c>
      <c r="J80" s="31">
        <f t="shared" si="24"/>
        <v>1.4730555555555469E-3</v>
      </c>
      <c r="K80" s="31"/>
      <c r="M80" s="308">
        <f t="shared" si="25"/>
        <v>6</v>
      </c>
      <c r="P80" s="36">
        <v>52</v>
      </c>
      <c r="Q80" s="43">
        <v>6</v>
      </c>
      <c r="R80" s="41">
        <v>7.8287037037037044E-2</v>
      </c>
      <c r="S80" s="35">
        <v>0</v>
      </c>
      <c r="T80" s="37">
        <v>72</v>
      </c>
      <c r="U80" s="44">
        <v>6</v>
      </c>
      <c r="V80" s="240">
        <v>7.7031134259259101E-3</v>
      </c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81</v>
      </c>
      <c r="C81" s="63" t="str">
        <f t="shared" si="17"/>
        <v>CZE19980303</v>
      </c>
      <c r="D81" s="64" t="str">
        <f t="shared" si="18"/>
        <v xml:space="preserve">KOUDELA Dominik </v>
      </c>
      <c r="E81" s="65" t="str">
        <f t="shared" si="19"/>
        <v xml:space="preserve">TJ KOVO PRAHA </v>
      </c>
      <c r="F81" s="66">
        <f t="shared" si="20"/>
        <v>13590</v>
      </c>
      <c r="G81" s="67" t="str">
        <f t="shared" si="21"/>
        <v>CADET</v>
      </c>
      <c r="H81" s="67" t="str">
        <f t="shared" si="22"/>
        <v>KOV</v>
      </c>
      <c r="I81" s="199">
        <f t="shared" si="23"/>
        <v>8.5995289351851828E-2</v>
      </c>
      <c r="J81" s="31">
        <f t="shared" si="24"/>
        <v>1.4781944444444139E-3</v>
      </c>
      <c r="K81" s="31"/>
      <c r="M81" s="308">
        <f t="shared" si="25"/>
        <v>81</v>
      </c>
      <c r="P81" s="36">
        <v>85</v>
      </c>
      <c r="Q81" s="43">
        <v>81</v>
      </c>
      <c r="R81" s="41">
        <v>7.8287037037037044E-2</v>
      </c>
      <c r="S81" s="35">
        <v>0</v>
      </c>
      <c r="T81" s="37">
        <v>73</v>
      </c>
      <c r="U81" s="44">
        <v>81</v>
      </c>
      <c r="V81" s="240">
        <v>7.7082523148147807E-3</v>
      </c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51</v>
      </c>
      <c r="C82" s="63" t="str">
        <f t="shared" si="17"/>
        <v>CZE19980726</v>
      </c>
      <c r="D82" s="64" t="str">
        <f t="shared" si="18"/>
        <v xml:space="preserve">POKORNÝ Petr </v>
      </c>
      <c r="E82" s="65" t="str">
        <f t="shared" si="19"/>
        <v xml:space="preserve">ACK STARÁ VES NAD ONDŘEJNICÍ </v>
      </c>
      <c r="F82" s="66">
        <f t="shared" si="20"/>
        <v>9870</v>
      </c>
      <c r="G82" s="67" t="str">
        <f t="shared" si="21"/>
        <v>CADET</v>
      </c>
      <c r="H82" s="67" t="str">
        <f t="shared" si="22"/>
        <v>GLI</v>
      </c>
      <c r="I82" s="199">
        <f t="shared" si="23"/>
        <v>8.6007777777777766E-2</v>
      </c>
      <c r="J82" s="31">
        <f t="shared" si="24"/>
        <v>1.4906828703703523E-3</v>
      </c>
      <c r="K82" s="31"/>
      <c r="M82" s="308">
        <f t="shared" si="25"/>
        <v>51</v>
      </c>
      <c r="P82" s="36">
        <v>61</v>
      </c>
      <c r="Q82" s="43">
        <v>51</v>
      </c>
      <c r="R82" s="41">
        <v>7.8287037037037044E-2</v>
      </c>
      <c r="S82" s="35">
        <v>0</v>
      </c>
      <c r="T82" s="37">
        <v>74</v>
      </c>
      <c r="U82" s="44">
        <v>51</v>
      </c>
      <c r="V82" s="240">
        <v>7.7207407407407294E-3</v>
      </c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35</v>
      </c>
      <c r="C83" s="63" t="str">
        <f t="shared" si="17"/>
        <v>CZE19970320</v>
      </c>
      <c r="D83" s="64" t="str">
        <f t="shared" si="18"/>
        <v xml:space="preserve">KUTIŠ Martin </v>
      </c>
      <c r="E83" s="65" t="str">
        <f t="shared" si="19"/>
        <v>ALLTRAINING.CZ</v>
      </c>
      <c r="F83" s="66">
        <f t="shared" si="20"/>
        <v>19969</v>
      </c>
      <c r="G83" s="67" t="str">
        <f t="shared" si="21"/>
        <v>JUNIOR*</v>
      </c>
      <c r="H83" s="67" t="str">
        <f t="shared" si="22"/>
        <v>REM</v>
      </c>
      <c r="I83" s="199">
        <f t="shared" si="23"/>
        <v>8.6015775462962976E-2</v>
      </c>
      <c r="J83" s="31">
        <f t="shared" si="24"/>
        <v>1.4986805555555621E-3</v>
      </c>
      <c r="K83" s="31"/>
      <c r="M83" s="308">
        <f t="shared" si="25"/>
        <v>35</v>
      </c>
      <c r="P83" s="36">
        <v>91</v>
      </c>
      <c r="Q83" s="43">
        <v>35</v>
      </c>
      <c r="R83" s="41">
        <v>7.8287037037037044E-2</v>
      </c>
      <c r="S83" s="35">
        <v>0</v>
      </c>
      <c r="T83" s="37">
        <v>75</v>
      </c>
      <c r="U83" s="44">
        <v>35</v>
      </c>
      <c r="V83" s="240">
        <v>7.7287384259259323E-3</v>
      </c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71</v>
      </c>
      <c r="C84" s="63" t="str">
        <f t="shared" si="17"/>
        <v>SVK19970730</v>
      </c>
      <c r="D84" s="64" t="str">
        <f t="shared" si="18"/>
        <v>MEŇUŠ Tomáš</v>
      </c>
      <c r="E84" s="65" t="str">
        <f t="shared" si="19"/>
        <v>CYCLING ACADEMY BRATISLAVA</v>
      </c>
      <c r="F84" s="66">
        <f t="shared" si="20"/>
        <v>6668</v>
      </c>
      <c r="G84" s="67" t="str">
        <f t="shared" si="21"/>
        <v>JUNIOR*</v>
      </c>
      <c r="H84" s="67" t="str">
        <f t="shared" si="22"/>
        <v>SLA</v>
      </c>
      <c r="I84" s="199">
        <f t="shared" si="23"/>
        <v>8.6017662037037035E-2</v>
      </c>
      <c r="J84" s="31">
        <f t="shared" si="24"/>
        <v>1.5005671296296208E-3</v>
      </c>
      <c r="K84" s="31"/>
      <c r="M84" s="308">
        <f t="shared" si="25"/>
        <v>71</v>
      </c>
      <c r="P84" s="36">
        <v>103</v>
      </c>
      <c r="Q84" s="43">
        <v>71</v>
      </c>
      <c r="R84" s="41">
        <v>7.8321759259259258E-2</v>
      </c>
      <c r="S84" s="35">
        <v>0</v>
      </c>
      <c r="T84" s="37">
        <v>70</v>
      </c>
      <c r="U84" s="44">
        <v>71</v>
      </c>
      <c r="V84" s="240">
        <v>7.6959027777777763E-3</v>
      </c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173</v>
      </c>
      <c r="C85" s="63" t="str">
        <f t="shared" si="17"/>
        <v>SVK19970117</v>
      </c>
      <c r="D85" s="64" t="str">
        <f t="shared" si="18"/>
        <v>PORUBAN Dominik</v>
      </c>
      <c r="E85" s="65" t="str">
        <f t="shared" si="19"/>
        <v xml:space="preserve">SLOVAK CYCLING FEDERATION </v>
      </c>
      <c r="F85" s="66">
        <f t="shared" si="20"/>
        <v>6477</v>
      </c>
      <c r="G85" s="67" t="str">
        <f t="shared" si="21"/>
        <v>JUNIOR*</v>
      </c>
      <c r="H85" s="67" t="str">
        <f t="shared" si="22"/>
        <v>SVK</v>
      </c>
      <c r="I85" s="199">
        <f t="shared" si="23"/>
        <v>8.6038576388888899E-2</v>
      </c>
      <c r="J85" s="31">
        <f t="shared" si="24"/>
        <v>1.5214814814814848E-3</v>
      </c>
      <c r="K85" s="31"/>
      <c r="M85" s="308">
        <f t="shared" si="25"/>
        <v>173</v>
      </c>
      <c r="P85" s="36">
        <v>25</v>
      </c>
      <c r="Q85" s="43">
        <v>173</v>
      </c>
      <c r="R85" s="41">
        <v>7.8287037037037044E-2</v>
      </c>
      <c r="S85" s="35">
        <v>0</v>
      </c>
      <c r="T85" s="37">
        <v>77</v>
      </c>
      <c r="U85" s="44">
        <v>173</v>
      </c>
      <c r="V85" s="240">
        <v>7.7515393518518549E-3</v>
      </c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 t="shared" si="17"/>
        <v>CZE19970118</v>
      </c>
      <c r="D86" s="64" t="str">
        <f t="shared" si="18"/>
        <v>MAYER Daniel</v>
      </c>
      <c r="E86" s="65" t="str">
        <f t="shared" si="19"/>
        <v>KC HLINSKO</v>
      </c>
      <c r="F86" s="66">
        <f t="shared" si="20"/>
        <v>13274</v>
      </c>
      <c r="G86" s="67" t="str">
        <f t="shared" si="21"/>
        <v>JUNIOR*</v>
      </c>
      <c r="H86" s="67" t="str">
        <f t="shared" si="22"/>
        <v>SKC</v>
      </c>
      <c r="I86" s="199">
        <f t="shared" si="23"/>
        <v>8.6040682870370394E-2</v>
      </c>
      <c r="J86" s="31">
        <f t="shared" si="24"/>
        <v>1.52358796296298E-3</v>
      </c>
      <c r="K86" s="31"/>
      <c r="M86" s="308">
        <f t="shared" si="25"/>
        <v>125</v>
      </c>
      <c r="P86" s="36">
        <v>75</v>
      </c>
      <c r="Q86" s="43">
        <v>125</v>
      </c>
      <c r="R86" s="41">
        <v>7.8287037037037044E-2</v>
      </c>
      <c r="S86" s="35">
        <v>0</v>
      </c>
      <c r="T86" s="37">
        <v>78</v>
      </c>
      <c r="U86" s="44">
        <v>125</v>
      </c>
      <c r="V86" s="240">
        <v>7.7536458333333468E-3</v>
      </c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17</v>
      </c>
      <c r="C87" s="63" t="str">
        <f t="shared" si="17"/>
        <v>GER19980912</v>
      </c>
      <c r="D87" s="64" t="str">
        <f t="shared" si="18"/>
        <v>CLAUSS Marc</v>
      </c>
      <c r="E87" s="65" t="str">
        <f t="shared" si="19"/>
        <v>JUNIOREN SCHWALBE TEAM SACHSEN</v>
      </c>
      <c r="F87" s="66" t="str">
        <f t="shared" si="20"/>
        <v>SAC 135276</v>
      </c>
      <c r="G87" s="67" t="str">
        <f t="shared" si="21"/>
        <v>CADET</v>
      </c>
      <c r="H87" s="67" t="str">
        <f t="shared" si="22"/>
        <v>SCW</v>
      </c>
      <c r="I87" s="199">
        <f t="shared" si="23"/>
        <v>8.6054895833333284E-2</v>
      </c>
      <c r="J87" s="31">
        <f t="shared" si="24"/>
        <v>1.5378009259258696E-3</v>
      </c>
      <c r="K87" s="31"/>
      <c r="M87" s="308">
        <f t="shared" si="25"/>
        <v>17</v>
      </c>
      <c r="P87" s="36">
        <v>36</v>
      </c>
      <c r="Q87" s="43">
        <v>17</v>
      </c>
      <c r="R87" s="41">
        <v>7.8287037037037044E-2</v>
      </c>
      <c r="S87" s="35">
        <v>0</v>
      </c>
      <c r="T87" s="37">
        <v>79</v>
      </c>
      <c r="U87" s="44">
        <v>17</v>
      </c>
      <c r="V87" s="240">
        <v>7.7678587962962467E-3</v>
      </c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43</v>
      </c>
      <c r="C88" s="63" t="str">
        <f t="shared" si="17"/>
        <v>CZE19990209</v>
      </c>
      <c r="D88" s="64" t="str">
        <f t="shared" si="18"/>
        <v xml:space="preserve">HONZÁK David </v>
      </c>
      <c r="E88" s="65" t="str">
        <f t="shared" si="19"/>
        <v>KC KOOPERATIVA SG JABLONEC N.N</v>
      </c>
      <c r="F88" s="66">
        <f t="shared" si="20"/>
        <v>14334</v>
      </c>
      <c r="G88" s="67" t="str">
        <f t="shared" si="21"/>
        <v>CADET*</v>
      </c>
      <c r="H88" s="67" t="str">
        <f t="shared" si="22"/>
        <v>KOO</v>
      </c>
      <c r="I88" s="199">
        <f t="shared" si="23"/>
        <v>8.6056354166666668E-2</v>
      </c>
      <c r="J88" s="31">
        <f t="shared" si="24"/>
        <v>1.5392592592592541E-3</v>
      </c>
      <c r="K88" s="31"/>
      <c r="M88" s="308">
        <f t="shared" si="25"/>
        <v>43</v>
      </c>
      <c r="P88" s="36">
        <v>102</v>
      </c>
      <c r="Q88" s="43">
        <v>43</v>
      </c>
      <c r="R88" s="41">
        <v>7.8321759259259258E-2</v>
      </c>
      <c r="S88" s="35">
        <v>0</v>
      </c>
      <c r="T88" s="37">
        <v>76</v>
      </c>
      <c r="U88" s="44">
        <v>43</v>
      </c>
      <c r="V88" s="240">
        <v>7.7345949074074088E-3</v>
      </c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136</v>
      </c>
      <c r="C89" s="63" t="str">
        <f t="shared" si="17"/>
        <v>AUT19970822</v>
      </c>
      <c r="D89" s="64" t="str">
        <f t="shared" si="18"/>
        <v>STEINDLER Julian</v>
      </c>
      <c r="E89" s="65" t="str">
        <f t="shared" si="19"/>
        <v>RC ARBÖ WELS GOURMETFEIN</v>
      </c>
      <c r="F89" s="66">
        <f t="shared" si="20"/>
        <v>100089</v>
      </c>
      <c r="G89" s="67" t="str">
        <f t="shared" si="21"/>
        <v>JUNIOR*</v>
      </c>
      <c r="H89" s="67" t="str">
        <f t="shared" si="22"/>
        <v>RCA</v>
      </c>
      <c r="I89" s="199">
        <f t="shared" si="23"/>
        <v>8.6068437500000039E-2</v>
      </c>
      <c r="J89" s="31">
        <f t="shared" si="24"/>
        <v>1.551342592592625E-3</v>
      </c>
      <c r="K89" s="31"/>
      <c r="M89" s="308">
        <f t="shared" si="25"/>
        <v>136</v>
      </c>
      <c r="P89" s="36">
        <v>51</v>
      </c>
      <c r="Q89" s="43">
        <v>136</v>
      </c>
      <c r="R89" s="41">
        <v>7.8287037037037044E-2</v>
      </c>
      <c r="S89" s="35">
        <v>0</v>
      </c>
      <c r="T89" s="37">
        <v>80</v>
      </c>
      <c r="U89" s="44">
        <v>136</v>
      </c>
      <c r="V89" s="240">
        <v>7.7814004629629951E-3</v>
      </c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84</v>
      </c>
      <c r="C90" s="63" t="str">
        <f t="shared" si="17"/>
        <v>BEL19970116</v>
      </c>
      <c r="D90" s="64" t="str">
        <f t="shared" si="18"/>
        <v>PENNINCK Jens</v>
      </c>
      <c r="E90" s="65" t="str">
        <f t="shared" si="19"/>
        <v>VZW TIELTSE RENNERSCLUB - JIELKER GELDHOF</v>
      </c>
      <c r="F90" s="66">
        <f t="shared" si="20"/>
        <v>35143</v>
      </c>
      <c r="G90" s="67" t="str">
        <f t="shared" si="21"/>
        <v>JUNIOR*</v>
      </c>
      <c r="H90" s="67" t="str">
        <f t="shared" si="22"/>
        <v>KOV</v>
      </c>
      <c r="I90" s="199">
        <f t="shared" si="23"/>
        <v>8.6070972222222222E-2</v>
      </c>
      <c r="J90" s="31">
        <f t="shared" si="24"/>
        <v>1.5538773148148083E-3</v>
      </c>
      <c r="K90" s="31"/>
      <c r="M90" s="308">
        <f t="shared" si="25"/>
        <v>84</v>
      </c>
      <c r="P90" s="36">
        <v>45</v>
      </c>
      <c r="Q90" s="43">
        <v>84</v>
      </c>
      <c r="R90" s="41">
        <v>7.8287037037037044E-2</v>
      </c>
      <c r="S90" s="35">
        <v>0</v>
      </c>
      <c r="T90" s="37">
        <v>81</v>
      </c>
      <c r="U90" s="44">
        <v>84</v>
      </c>
      <c r="V90" s="240">
        <v>7.7839351851851785E-3</v>
      </c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172</v>
      </c>
      <c r="C91" s="63" t="str">
        <f t="shared" si="17"/>
        <v>SVK19971030</v>
      </c>
      <c r="D91" s="64" t="str">
        <f t="shared" si="18"/>
        <v>ZIMANY Kristian</v>
      </c>
      <c r="E91" s="65" t="str">
        <f t="shared" si="19"/>
        <v xml:space="preserve">SLOVAK CYCLING FEDERATION </v>
      </c>
      <c r="F91" s="66">
        <f t="shared" si="20"/>
        <v>5765</v>
      </c>
      <c r="G91" s="67" t="str">
        <f t="shared" si="21"/>
        <v>JUNIOR*</v>
      </c>
      <c r="H91" s="67" t="str">
        <f t="shared" si="22"/>
        <v>SVK</v>
      </c>
      <c r="I91" s="199">
        <f t="shared" si="23"/>
        <v>8.6072986111111166E-2</v>
      </c>
      <c r="J91" s="31">
        <f t="shared" si="24"/>
        <v>1.555891203703752E-3</v>
      </c>
      <c r="K91" s="31"/>
      <c r="M91" s="308">
        <f t="shared" si="25"/>
        <v>172</v>
      </c>
      <c r="P91" s="36">
        <v>90</v>
      </c>
      <c r="Q91" s="43">
        <v>172</v>
      </c>
      <c r="R91" s="41">
        <v>7.8287037037037044E-2</v>
      </c>
      <c r="S91" s="35">
        <v>0</v>
      </c>
      <c r="T91" s="37">
        <v>82</v>
      </c>
      <c r="U91" s="44">
        <v>172</v>
      </c>
      <c r="V91" s="240">
        <v>7.7859490740741222E-3</v>
      </c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11</v>
      </c>
      <c r="C92" s="63" t="str">
        <f t="shared" si="17"/>
        <v>GER19961026</v>
      </c>
      <c r="D92" s="64" t="str">
        <f t="shared" si="18"/>
        <v>FRANZ Paul</v>
      </c>
      <c r="E92" s="65" t="str">
        <f t="shared" si="19"/>
        <v>JUNIOREN SCHWALBE TEAM SACHSEN</v>
      </c>
      <c r="F92" s="66" t="str">
        <f t="shared" si="20"/>
        <v>SAC 134886</v>
      </c>
      <c r="G92" s="67" t="str">
        <f t="shared" si="21"/>
        <v>JUNIOR</v>
      </c>
      <c r="H92" s="67" t="str">
        <f t="shared" si="22"/>
        <v>SCW</v>
      </c>
      <c r="I92" s="199">
        <f t="shared" si="23"/>
        <v>8.6112280092592572E-2</v>
      </c>
      <c r="J92" s="31">
        <f t="shared" si="24"/>
        <v>1.5951851851851578E-3</v>
      </c>
      <c r="K92" s="31"/>
      <c r="M92" s="308">
        <f t="shared" si="25"/>
        <v>11</v>
      </c>
      <c r="P92" s="36">
        <v>113</v>
      </c>
      <c r="Q92" s="43">
        <v>11</v>
      </c>
      <c r="R92" s="41">
        <v>7.8287037037037044E-2</v>
      </c>
      <c r="S92" s="35">
        <v>0</v>
      </c>
      <c r="T92" s="37">
        <v>83</v>
      </c>
      <c r="U92" s="44">
        <v>11</v>
      </c>
      <c r="V92" s="240">
        <v>7.8252430555555228E-3</v>
      </c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31</v>
      </c>
      <c r="C93" s="63" t="str">
        <f t="shared" si="17"/>
        <v>CZE19960423</v>
      </c>
      <c r="D93" s="64" t="str">
        <f t="shared" si="18"/>
        <v xml:space="preserve">MORÁVEK Zdeněk </v>
      </c>
      <c r="E93" s="65" t="str">
        <f t="shared" si="19"/>
        <v>ALLTRAINING.CZ</v>
      </c>
      <c r="F93" s="66">
        <f t="shared" si="20"/>
        <v>19314</v>
      </c>
      <c r="G93" s="67" t="str">
        <f t="shared" si="21"/>
        <v>JUNIOR</v>
      </c>
      <c r="H93" s="67" t="str">
        <f t="shared" si="22"/>
        <v>REM</v>
      </c>
      <c r="I93" s="199">
        <f t="shared" si="23"/>
        <v>8.6167905092592575E-2</v>
      </c>
      <c r="J93" s="31">
        <f t="shared" si="24"/>
        <v>1.6508101851851614E-3</v>
      </c>
      <c r="K93" s="31"/>
      <c r="M93" s="308">
        <f t="shared" si="25"/>
        <v>31</v>
      </c>
      <c r="P93" s="36">
        <v>76</v>
      </c>
      <c r="Q93" s="43">
        <v>31</v>
      </c>
      <c r="R93" s="41">
        <v>7.8287037037037044E-2</v>
      </c>
      <c r="S93" s="35">
        <v>0</v>
      </c>
      <c r="T93" s="37">
        <v>85</v>
      </c>
      <c r="U93" s="44">
        <v>31</v>
      </c>
      <c r="V93" s="240">
        <v>7.8808680555555281E-3</v>
      </c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18</v>
      </c>
      <c r="C94" s="63" t="str">
        <f t="shared" si="17"/>
        <v>GER19980906</v>
      </c>
      <c r="D94" s="64" t="str">
        <f t="shared" si="18"/>
        <v>ZSCHOCKE Maximilian</v>
      </c>
      <c r="E94" s="65" t="str">
        <f t="shared" si="19"/>
        <v>JUNIOREN SCHWALBE TEAM SACHSEN</v>
      </c>
      <c r="F94" s="66" t="str">
        <f t="shared" si="20"/>
        <v>SAC 135079</v>
      </c>
      <c r="G94" s="67" t="str">
        <f t="shared" si="21"/>
        <v>CADET</v>
      </c>
      <c r="H94" s="67" t="str">
        <f t="shared" si="22"/>
        <v>SCW</v>
      </c>
      <c r="I94" s="199">
        <f t="shared" si="23"/>
        <v>8.6198518518518494E-2</v>
      </c>
      <c r="J94" s="31">
        <f t="shared" si="24"/>
        <v>1.6814236111110797E-3</v>
      </c>
      <c r="K94" s="31"/>
      <c r="M94" s="308">
        <f t="shared" si="25"/>
        <v>18</v>
      </c>
      <c r="P94" s="36">
        <v>57</v>
      </c>
      <c r="Q94" s="43">
        <v>18</v>
      </c>
      <c r="R94" s="41">
        <v>7.8287037037037044E-2</v>
      </c>
      <c r="S94" s="35">
        <v>0</v>
      </c>
      <c r="T94" s="37">
        <v>87</v>
      </c>
      <c r="U94" s="44">
        <v>18</v>
      </c>
      <c r="V94" s="240">
        <v>7.9114814814814499E-3</v>
      </c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16</v>
      </c>
      <c r="C95" s="63" t="str">
        <f t="shared" si="17"/>
        <v>GER19981217</v>
      </c>
      <c r="D95" s="64" t="str">
        <f t="shared" si="18"/>
        <v>ZÖTTLER Jacob</v>
      </c>
      <c r="E95" s="65" t="str">
        <f t="shared" si="19"/>
        <v>JUNIOREN SCHWALBE TEAM SACHSEN</v>
      </c>
      <c r="F95" s="66" t="str">
        <f t="shared" si="20"/>
        <v>SAC 135443</v>
      </c>
      <c r="G95" s="67" t="str">
        <f t="shared" si="21"/>
        <v>CADET</v>
      </c>
      <c r="H95" s="67" t="str">
        <f t="shared" si="22"/>
        <v>SCW</v>
      </c>
      <c r="I95" s="199">
        <f t="shared" si="23"/>
        <v>8.6200856481481472E-2</v>
      </c>
      <c r="J95" s="31">
        <f t="shared" si="24"/>
        <v>1.683761574074058E-3</v>
      </c>
      <c r="K95" s="31"/>
      <c r="M95" s="308">
        <f t="shared" si="25"/>
        <v>16</v>
      </c>
      <c r="P95" s="36">
        <v>101</v>
      </c>
      <c r="Q95" s="43">
        <v>16</v>
      </c>
      <c r="R95" s="41">
        <v>7.8321759259259258E-2</v>
      </c>
      <c r="S95" s="35">
        <v>0</v>
      </c>
      <c r="T95" s="37">
        <v>84</v>
      </c>
      <c r="U95" s="44">
        <v>16</v>
      </c>
      <c r="V95" s="240">
        <v>7.8790972222222179E-3</v>
      </c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83</v>
      </c>
      <c r="C96" s="63" t="str">
        <f t="shared" si="17"/>
        <v>CZE19960724</v>
      </c>
      <c r="D96" s="64" t="str">
        <f t="shared" si="18"/>
        <v xml:space="preserve">BECHYNĚ Matěj </v>
      </c>
      <c r="E96" s="65" t="str">
        <f t="shared" si="19"/>
        <v>VZW TIELTSE RENNERSCLUB - JIELKER GELDHOF</v>
      </c>
      <c r="F96" s="66">
        <f t="shared" si="20"/>
        <v>14315</v>
      </c>
      <c r="G96" s="67" t="str">
        <f t="shared" si="21"/>
        <v>JUNIOR</v>
      </c>
      <c r="H96" s="67" t="str">
        <f t="shared" si="22"/>
        <v>KOV</v>
      </c>
      <c r="I96" s="199">
        <f t="shared" si="23"/>
        <v>8.6208819444444432E-2</v>
      </c>
      <c r="J96" s="31">
        <f t="shared" si="24"/>
        <v>1.6917245370370176E-3</v>
      </c>
      <c r="K96" s="31"/>
      <c r="M96" s="308">
        <f t="shared" si="25"/>
        <v>83</v>
      </c>
      <c r="P96" s="36">
        <v>11</v>
      </c>
      <c r="Q96" s="43">
        <v>83</v>
      </c>
      <c r="R96" s="41">
        <v>7.8287037037037044E-2</v>
      </c>
      <c r="S96" s="35">
        <v>0</v>
      </c>
      <c r="T96" s="37">
        <v>88</v>
      </c>
      <c r="U96" s="44">
        <v>83</v>
      </c>
      <c r="V96" s="240">
        <v>7.9217824074073878E-3</v>
      </c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174</v>
      </c>
      <c r="C97" s="63" t="str">
        <f t="shared" si="17"/>
        <v>SVK19970730</v>
      </c>
      <c r="D97" s="64" t="str">
        <f t="shared" si="18"/>
        <v>JELŽA Nicolas</v>
      </c>
      <c r="E97" s="65" t="str">
        <f t="shared" si="19"/>
        <v xml:space="preserve">SLOVAK CYCLING FEDERATION </v>
      </c>
      <c r="F97" s="66">
        <f t="shared" si="20"/>
        <v>4237</v>
      </c>
      <c r="G97" s="67" t="str">
        <f t="shared" si="21"/>
        <v>JUNIOR*</v>
      </c>
      <c r="H97" s="67" t="str">
        <f t="shared" si="22"/>
        <v>SVK</v>
      </c>
      <c r="I97" s="199">
        <f t="shared" si="23"/>
        <v>8.6216041666666687E-2</v>
      </c>
      <c r="J97" s="31">
        <f t="shared" si="24"/>
        <v>1.6989467592592733E-3</v>
      </c>
      <c r="K97" s="31"/>
      <c r="M97" s="308">
        <f t="shared" si="25"/>
        <v>174</v>
      </c>
      <c r="P97" s="36">
        <v>56</v>
      </c>
      <c r="Q97" s="43">
        <v>174</v>
      </c>
      <c r="R97" s="41">
        <v>7.8287037037037044E-2</v>
      </c>
      <c r="S97" s="35">
        <v>0</v>
      </c>
      <c r="T97" s="37">
        <v>89</v>
      </c>
      <c r="U97" s="44">
        <v>174</v>
      </c>
      <c r="V97" s="240">
        <v>7.9290046296296435E-3</v>
      </c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10</v>
      </c>
      <c r="C98" s="63" t="str">
        <f t="shared" si="17"/>
        <v>GER19970316</v>
      </c>
      <c r="D98" s="64" t="str">
        <f t="shared" si="18"/>
        <v>WELTZ Niclas</v>
      </c>
      <c r="E98" s="65" t="str">
        <f t="shared" si="19"/>
        <v>RSC TURBINE ERFURT</v>
      </c>
      <c r="F98" s="66" t="str">
        <f t="shared" si="20"/>
        <v>THÜ173103</v>
      </c>
      <c r="G98" s="67" t="str">
        <f t="shared" si="21"/>
        <v>JUNIOR*</v>
      </c>
      <c r="H98" s="67" t="str">
        <f t="shared" si="22"/>
        <v>TUR</v>
      </c>
      <c r="I98" s="199">
        <f t="shared" si="23"/>
        <v>8.6256851851851848E-2</v>
      </c>
      <c r="J98" s="31">
        <f t="shared" si="24"/>
        <v>1.7397569444444344E-3</v>
      </c>
      <c r="K98" s="31"/>
      <c r="M98" s="308">
        <f t="shared" si="25"/>
        <v>10</v>
      </c>
      <c r="P98" s="36">
        <v>89</v>
      </c>
      <c r="Q98" s="43">
        <v>10</v>
      </c>
      <c r="R98" s="41">
        <v>7.8287037037037044E-2</v>
      </c>
      <c r="S98" s="35">
        <v>0</v>
      </c>
      <c r="T98" s="37">
        <v>91</v>
      </c>
      <c r="U98" s="44">
        <v>10</v>
      </c>
      <c r="V98" s="240">
        <v>7.9698148148148046E-3</v>
      </c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154</v>
      </c>
      <c r="C99" s="63" t="str">
        <f t="shared" si="17"/>
        <v>CZE19970227</v>
      </c>
      <c r="D99" s="64" t="str">
        <f t="shared" si="18"/>
        <v>PAVKA Filip</v>
      </c>
      <c r="E99" s="65" t="str">
        <f t="shared" si="19"/>
        <v>STEVENS ZNOJMO</v>
      </c>
      <c r="F99" s="66">
        <f t="shared" si="20"/>
        <v>20126</v>
      </c>
      <c r="G99" s="67" t="str">
        <f t="shared" si="21"/>
        <v>JUNIOR*</v>
      </c>
      <c r="H99" s="67" t="str">
        <f t="shared" si="22"/>
        <v>SKC</v>
      </c>
      <c r="I99" s="199">
        <f t="shared" si="23"/>
        <v>8.627895833333335E-2</v>
      </c>
      <c r="J99" s="31">
        <f t="shared" si="24"/>
        <v>1.7618634259259358E-3</v>
      </c>
      <c r="K99" s="31"/>
      <c r="M99" s="308">
        <f t="shared" si="25"/>
        <v>154</v>
      </c>
      <c r="P99" s="36">
        <v>47</v>
      </c>
      <c r="Q99" s="43">
        <v>154</v>
      </c>
      <c r="R99" s="41">
        <v>7.8287037037037044E-2</v>
      </c>
      <c r="S99" s="35">
        <v>0</v>
      </c>
      <c r="T99" s="37">
        <v>92</v>
      </c>
      <c r="U99" s="44">
        <v>154</v>
      </c>
      <c r="V99" s="240">
        <v>7.9919212962963129E-3</v>
      </c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42</v>
      </c>
      <c r="C100" s="63" t="str">
        <f t="shared" si="17"/>
        <v>CZE19961125</v>
      </c>
      <c r="D100" s="64" t="str">
        <f t="shared" si="18"/>
        <v xml:space="preserve">ANDRŠ Jakub </v>
      </c>
      <c r="E100" s="65" t="str">
        <f t="shared" si="19"/>
        <v>KC KOOPERATIVA SG JABLONEC N.N</v>
      </c>
      <c r="F100" s="66">
        <f t="shared" si="20"/>
        <v>12251</v>
      </c>
      <c r="G100" s="67" t="str">
        <f t="shared" si="21"/>
        <v>JUNIOR</v>
      </c>
      <c r="H100" s="67" t="str">
        <f t="shared" si="22"/>
        <v>KOO</v>
      </c>
      <c r="I100" s="199">
        <f t="shared" si="23"/>
        <v>8.6282696759259286E-2</v>
      </c>
      <c r="J100" s="31">
        <f t="shared" si="24"/>
        <v>1.7656018518518724E-3</v>
      </c>
      <c r="K100" s="31"/>
      <c r="M100" s="308">
        <f t="shared" si="25"/>
        <v>42</v>
      </c>
      <c r="P100" s="36">
        <v>49</v>
      </c>
      <c r="Q100" s="43">
        <v>42</v>
      </c>
      <c r="R100" s="41">
        <v>7.8287037037037044E-2</v>
      </c>
      <c r="S100" s="35">
        <v>0</v>
      </c>
      <c r="T100" s="37">
        <v>94</v>
      </c>
      <c r="U100" s="44">
        <v>42</v>
      </c>
      <c r="V100" s="240">
        <v>7.9956597222222425E-3</v>
      </c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113</v>
      </c>
      <c r="C101" s="63" t="str">
        <f t="shared" si="17"/>
        <v>GER19961002</v>
      </c>
      <c r="D101" s="64" t="str">
        <f t="shared" si="18"/>
        <v>ROHDE Louis</v>
      </c>
      <c r="E101" s="65" t="str">
        <f t="shared" si="19"/>
        <v>TEAM BRANDENBURG - RSC COTTBUS</v>
      </c>
      <c r="F101" s="66" t="str">
        <f t="shared" si="20"/>
        <v>062094-11</v>
      </c>
      <c r="G101" s="67" t="str">
        <f t="shared" si="21"/>
        <v>JUNIOR</v>
      </c>
      <c r="H101" s="67" t="str">
        <f t="shared" si="22"/>
        <v>COT</v>
      </c>
      <c r="I101" s="199">
        <f t="shared" si="23"/>
        <v>8.6295162037037007E-2</v>
      </c>
      <c r="J101" s="31">
        <f t="shared" si="24"/>
        <v>1.778067129629593E-3</v>
      </c>
      <c r="K101" s="31"/>
      <c r="M101" s="308">
        <f t="shared" si="25"/>
        <v>113</v>
      </c>
      <c r="P101" s="36">
        <v>5</v>
      </c>
      <c r="Q101" s="43">
        <v>113</v>
      </c>
      <c r="R101" s="41">
        <v>7.8287037037037044E-2</v>
      </c>
      <c r="S101" s="35">
        <v>0</v>
      </c>
      <c r="T101" s="37">
        <v>95</v>
      </c>
      <c r="U101" s="44">
        <v>113</v>
      </c>
      <c r="V101" s="240">
        <v>8.0081249999999632E-3</v>
      </c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122</v>
      </c>
      <c r="C102" s="63" t="str">
        <f t="shared" si="17"/>
        <v>CZE19971201</v>
      </c>
      <c r="D102" s="64" t="str">
        <f t="shared" si="18"/>
        <v xml:space="preserve">CHYTIL Daniel </v>
      </c>
      <c r="E102" s="65" t="str">
        <f t="shared" si="19"/>
        <v xml:space="preserve">SKC TUFO PROSTĚJOV </v>
      </c>
      <c r="F102" s="66">
        <f t="shared" si="20"/>
        <v>13150</v>
      </c>
      <c r="G102" s="67" t="str">
        <f t="shared" si="21"/>
        <v>JUNIOR*</v>
      </c>
      <c r="H102" s="67" t="str">
        <f t="shared" si="22"/>
        <v>SKC</v>
      </c>
      <c r="I102" s="199">
        <f t="shared" si="23"/>
        <v>8.6304780092592598E-2</v>
      </c>
      <c r="J102" s="31">
        <f t="shared" si="24"/>
        <v>1.7876851851851838E-3</v>
      </c>
      <c r="K102" s="31"/>
      <c r="M102" s="308">
        <f t="shared" si="25"/>
        <v>122</v>
      </c>
      <c r="P102" s="36">
        <v>106</v>
      </c>
      <c r="Q102" s="43">
        <v>122</v>
      </c>
      <c r="R102" s="41">
        <v>7.8831018518518522E-2</v>
      </c>
      <c r="S102" s="35">
        <v>0</v>
      </c>
      <c r="T102" s="37">
        <v>52</v>
      </c>
      <c r="U102" s="44">
        <v>122</v>
      </c>
      <c r="V102" s="240">
        <v>7.4737615740740702E-3</v>
      </c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149</v>
      </c>
      <c r="C103" s="63" t="str">
        <f t="shared" si="17"/>
        <v>CZE19981228</v>
      </c>
      <c r="D103" s="64" t="str">
        <f t="shared" si="18"/>
        <v xml:space="preserve">WAGNER Jakub </v>
      </c>
      <c r="E103" s="65" t="str">
        <f t="shared" si="19"/>
        <v xml:space="preserve">MAPEI CYKLO KAŇKOVSKÝ </v>
      </c>
      <c r="F103" s="66">
        <f t="shared" si="20"/>
        <v>14090</v>
      </c>
      <c r="G103" s="67" t="str">
        <f t="shared" si="21"/>
        <v>CADET</v>
      </c>
      <c r="H103" s="67" t="str">
        <f t="shared" si="22"/>
        <v>MAP</v>
      </c>
      <c r="I103" s="199">
        <f t="shared" si="23"/>
        <v>8.6308854166666699E-2</v>
      </c>
      <c r="J103" s="31">
        <f t="shared" si="24"/>
        <v>1.7917592592592846E-3</v>
      </c>
      <c r="K103" s="31"/>
      <c r="M103" s="308">
        <f t="shared" si="25"/>
        <v>149</v>
      </c>
      <c r="P103" s="36">
        <v>58</v>
      </c>
      <c r="Q103" s="43">
        <v>149</v>
      </c>
      <c r="R103" s="41">
        <v>7.8287037037037044E-2</v>
      </c>
      <c r="S103" s="35">
        <v>0</v>
      </c>
      <c r="T103" s="37">
        <v>96</v>
      </c>
      <c r="U103" s="44">
        <v>149</v>
      </c>
      <c r="V103" s="240">
        <v>8.0218171296296478E-3</v>
      </c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 t="shared" si="17"/>
        <v>POL19970608</v>
      </c>
      <c r="D104" s="64" t="str">
        <f t="shared" si="18"/>
        <v>BISKUP Bartosz</v>
      </c>
      <c r="E104" s="65" t="str">
        <f t="shared" si="19"/>
        <v xml:space="preserve">DSR AUTHOR GÓRNIK WAŁBRZYCH </v>
      </c>
      <c r="F104" s="66" t="str">
        <f t="shared" si="20"/>
        <v>DLS272</v>
      </c>
      <c r="G104" s="67" t="str">
        <f t="shared" si="21"/>
        <v>JUNIOR*</v>
      </c>
      <c r="H104" s="67" t="str">
        <f t="shared" si="22"/>
        <v>GOR</v>
      </c>
      <c r="I104" s="199">
        <f t="shared" si="23"/>
        <v>8.6334988425925935E-2</v>
      </c>
      <c r="J104" s="31">
        <f t="shared" si="24"/>
        <v>1.8178935185185208E-3</v>
      </c>
      <c r="K104" s="31"/>
      <c r="M104" s="308">
        <f t="shared" si="25"/>
        <v>65</v>
      </c>
      <c r="P104" s="36">
        <v>93</v>
      </c>
      <c r="Q104" s="43">
        <v>65</v>
      </c>
      <c r="R104" s="41">
        <v>7.8287037037037044E-2</v>
      </c>
      <c r="S104" s="35">
        <v>0</v>
      </c>
      <c r="T104" s="37">
        <v>99</v>
      </c>
      <c r="U104" s="44">
        <v>65</v>
      </c>
      <c r="V104" s="240">
        <v>8.0479513888888979E-3</v>
      </c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112</v>
      </c>
      <c r="C105" s="63" t="str">
        <f t="shared" si="17"/>
        <v>GER19970122</v>
      </c>
      <c r="D105" s="64" t="str">
        <f t="shared" si="18"/>
        <v>BERAN Andy</v>
      </c>
      <c r="E105" s="65" t="str">
        <f t="shared" si="19"/>
        <v>TEAM BRANDENBURG - RSC COTTBUS</v>
      </c>
      <c r="F105" s="66" t="str">
        <f t="shared" si="20"/>
        <v>604254-11</v>
      </c>
      <c r="G105" s="67" t="str">
        <f t="shared" si="21"/>
        <v>JUNIOR*</v>
      </c>
      <c r="H105" s="67" t="str">
        <f t="shared" si="22"/>
        <v>COT</v>
      </c>
      <c r="I105" s="199">
        <f t="shared" si="23"/>
        <v>8.6356886574074129E-2</v>
      </c>
      <c r="J105" s="31">
        <f t="shared" si="24"/>
        <v>1.8397916666667152E-3</v>
      </c>
      <c r="K105" s="31"/>
      <c r="M105" s="308">
        <f t="shared" si="25"/>
        <v>112</v>
      </c>
      <c r="P105" s="36">
        <v>62</v>
      </c>
      <c r="Q105" s="43">
        <v>112</v>
      </c>
      <c r="R105" s="41">
        <v>7.8287037037037044E-2</v>
      </c>
      <c r="S105" s="35">
        <v>0</v>
      </c>
      <c r="T105" s="37">
        <v>100</v>
      </c>
      <c r="U105" s="44">
        <v>112</v>
      </c>
      <c r="V105" s="240">
        <v>8.0698495370370854E-3</v>
      </c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75</v>
      </c>
      <c r="C106" s="63" t="str">
        <f t="shared" si="17"/>
        <v>SVK19981117</v>
      </c>
      <c r="D106" s="64" t="str">
        <f t="shared" si="18"/>
        <v>ZEMAN Alex</v>
      </c>
      <c r="E106" s="65" t="str">
        <f t="shared" si="19"/>
        <v>SLÁVIA ŠG TRENČÍN</v>
      </c>
      <c r="F106" s="66">
        <f t="shared" si="20"/>
        <v>6021</v>
      </c>
      <c r="G106" s="67" t="str">
        <f t="shared" si="21"/>
        <v>CADET</v>
      </c>
      <c r="H106" s="67" t="str">
        <f t="shared" si="22"/>
        <v>SLA</v>
      </c>
      <c r="I106" s="199">
        <f t="shared" si="23"/>
        <v>8.6374039351851895E-2</v>
      </c>
      <c r="J106" s="31">
        <f t="shared" si="24"/>
        <v>1.8569444444444805E-3</v>
      </c>
      <c r="K106" s="31"/>
      <c r="M106" s="308">
        <f t="shared" si="25"/>
        <v>75</v>
      </c>
      <c r="P106" s="36">
        <v>88</v>
      </c>
      <c r="Q106" s="43">
        <v>75</v>
      </c>
      <c r="R106" s="41">
        <v>7.8287037037037044E-2</v>
      </c>
      <c r="S106" s="35">
        <v>0</v>
      </c>
      <c r="T106" s="37">
        <v>101</v>
      </c>
      <c r="U106" s="44">
        <v>75</v>
      </c>
      <c r="V106" s="240">
        <v>8.0870023148148472E-3</v>
      </c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53</v>
      </c>
      <c r="C107" s="63" t="str">
        <f t="shared" si="17"/>
        <v>CZE19980914</v>
      </c>
      <c r="D107" s="64" t="str">
        <f t="shared" si="18"/>
        <v>TRACHTULEC Petr</v>
      </c>
      <c r="E107" s="65" t="str">
        <f t="shared" si="19"/>
        <v>CK FESO PETŘVALD</v>
      </c>
      <c r="F107" s="66">
        <f t="shared" si="20"/>
        <v>20073</v>
      </c>
      <c r="G107" s="67" t="str">
        <f t="shared" si="21"/>
        <v>CADET</v>
      </c>
      <c r="H107" s="67" t="str">
        <f t="shared" si="22"/>
        <v>GLI</v>
      </c>
      <c r="I107" s="199">
        <f t="shared" si="23"/>
        <v>8.6391354166666684E-2</v>
      </c>
      <c r="J107" s="31">
        <f t="shared" si="24"/>
        <v>1.8742592592592699E-3</v>
      </c>
      <c r="K107" s="31"/>
      <c r="M107" s="308">
        <f t="shared" si="25"/>
        <v>53</v>
      </c>
      <c r="P107" s="36">
        <v>66</v>
      </c>
      <c r="Q107" s="43">
        <v>53</v>
      </c>
      <c r="R107" s="41">
        <v>7.8287037037037044E-2</v>
      </c>
      <c r="S107" s="35">
        <v>0</v>
      </c>
      <c r="T107" s="37">
        <v>103</v>
      </c>
      <c r="U107" s="44">
        <v>53</v>
      </c>
      <c r="V107" s="240">
        <v>8.1043171296296401E-3</v>
      </c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15</v>
      </c>
      <c r="C108" s="63" t="str">
        <f t="shared" ref="C108:C139" si="26">VLOOKUP(B108,STARTOVKA,2,0)</f>
        <v>GER19980114</v>
      </c>
      <c r="D108" s="64" t="str">
        <f t="shared" ref="D108:D141" si="27">VLOOKUP(B108,STARTOVKA,3,0)</f>
        <v>BONNES Julius</v>
      </c>
      <c r="E108" s="65" t="str">
        <f t="shared" ref="E108:E141" si="28">VLOOKUP(B108,STARTOVKA,4,0)</f>
        <v>JUNIOREN SCHWALBE TEAM SACHSEN</v>
      </c>
      <c r="F108" s="66" t="str">
        <f t="shared" ref="F108:F141" si="29">VLOOKUP(B108,STARTOVKA,5,0)</f>
        <v>SAC 142150</v>
      </c>
      <c r="G108" s="67" t="str">
        <f t="shared" ref="G108:G141" si="30">VLOOKUP(B108,STARTOVKA,6,0)</f>
        <v>CADET</v>
      </c>
      <c r="H108" s="67" t="str">
        <f t="shared" ref="H108:H141" si="31">VLOOKUP(B108,STARTOVKA,7,0)</f>
        <v>SCW</v>
      </c>
      <c r="I108" s="199">
        <f t="shared" ref="I108:I128" si="32">SUM(R108,V108,Z108,AD108)-SUM(S108,W108,AA108,AE108)+AF108</f>
        <v>8.6409814814814814E-2</v>
      </c>
      <c r="J108" s="31">
        <f t="shared" ref="J108:J128" si="33">I108-$I$12</f>
        <v>1.8927199074074003E-3</v>
      </c>
      <c r="K108" s="31"/>
      <c r="M108" s="308">
        <f t="shared" si="25"/>
        <v>15</v>
      </c>
      <c r="P108" s="36">
        <v>100</v>
      </c>
      <c r="Q108" s="43">
        <v>15</v>
      </c>
      <c r="R108" s="41">
        <v>7.8321759259259258E-2</v>
      </c>
      <c r="S108" s="35">
        <v>0</v>
      </c>
      <c r="T108" s="37">
        <v>102</v>
      </c>
      <c r="U108" s="44">
        <v>15</v>
      </c>
      <c r="V108" s="240">
        <v>8.0880555555555549E-3</v>
      </c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145</v>
      </c>
      <c r="C109" s="63" t="str">
        <f t="shared" si="26"/>
        <v>CZE19961105</v>
      </c>
      <c r="D109" s="64" t="str">
        <f t="shared" si="27"/>
        <v xml:space="preserve">MUŽ Jan </v>
      </c>
      <c r="E109" s="65" t="str">
        <f t="shared" si="28"/>
        <v xml:space="preserve">MAPEI CYKLO KAŇKOVSKÝ </v>
      </c>
      <c r="F109" s="66">
        <f t="shared" si="29"/>
        <v>19338</v>
      </c>
      <c r="G109" s="67" t="str">
        <f t="shared" si="30"/>
        <v>JUNIOR</v>
      </c>
      <c r="H109" s="67" t="str">
        <f t="shared" si="31"/>
        <v>MAP</v>
      </c>
      <c r="I109" s="199">
        <f t="shared" si="32"/>
        <v>8.6415833333333303E-2</v>
      </c>
      <c r="J109" s="31">
        <f t="shared" si="33"/>
        <v>1.8987384259258888E-3</v>
      </c>
      <c r="K109" s="31"/>
      <c r="M109" s="308">
        <f t="shared" si="25"/>
        <v>145</v>
      </c>
      <c r="P109" s="36">
        <v>83</v>
      </c>
      <c r="Q109" s="43">
        <v>145</v>
      </c>
      <c r="R109" s="41">
        <v>7.8287037037037044E-2</v>
      </c>
      <c r="S109" s="35">
        <v>0</v>
      </c>
      <c r="T109" s="37">
        <v>105</v>
      </c>
      <c r="U109" s="44">
        <v>145</v>
      </c>
      <c r="V109" s="240">
        <v>8.1287962962962521E-3</v>
      </c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131</v>
      </c>
      <c r="C110" s="63" t="str">
        <f t="shared" si="26"/>
        <v>AUT19961107</v>
      </c>
      <c r="D110" s="64" t="str">
        <f t="shared" si="27"/>
        <v>FÜHRER Alexander</v>
      </c>
      <c r="E110" s="65" t="str">
        <f t="shared" si="28"/>
        <v>RLM WIEN</v>
      </c>
      <c r="F110" s="66">
        <f t="shared" si="29"/>
        <v>100020</v>
      </c>
      <c r="G110" s="67" t="str">
        <f t="shared" si="30"/>
        <v>JUNIOR</v>
      </c>
      <c r="H110" s="67" t="str">
        <f t="shared" si="31"/>
        <v>RCA</v>
      </c>
      <c r="I110" s="199">
        <f t="shared" si="32"/>
        <v>8.6418043981481452E-2</v>
      </c>
      <c r="J110" s="31">
        <f t="shared" si="33"/>
        <v>1.9009490740740376E-3</v>
      </c>
      <c r="K110" s="31"/>
      <c r="M110" s="308">
        <f t="shared" si="25"/>
        <v>131</v>
      </c>
      <c r="P110" s="36">
        <v>108</v>
      </c>
      <c r="Q110" s="43">
        <v>131</v>
      </c>
      <c r="R110" s="41">
        <v>7.8287037037037044E-2</v>
      </c>
      <c r="S110" s="35">
        <v>0</v>
      </c>
      <c r="T110" s="37">
        <v>106</v>
      </c>
      <c r="U110" s="44">
        <v>131</v>
      </c>
      <c r="V110" s="240">
        <v>8.1310069444444008E-3</v>
      </c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23</v>
      </c>
      <c r="C111" s="63" t="str">
        <f t="shared" si="26"/>
        <v>GER19981211</v>
      </c>
      <c r="D111" s="64" t="str">
        <f t="shared" si="27"/>
        <v>POUL Rudolph</v>
      </c>
      <c r="E111" s="65" t="str">
        <f t="shared" si="28"/>
        <v>RG BERLIN</v>
      </c>
      <c r="F111" s="66" t="str">
        <f t="shared" si="29"/>
        <v>BER 032411</v>
      </c>
      <c r="G111" s="67" t="str">
        <f t="shared" si="30"/>
        <v>CADET</v>
      </c>
      <c r="H111" s="67" t="str">
        <f t="shared" si="31"/>
        <v>RGB</v>
      </c>
      <c r="I111" s="199">
        <f t="shared" si="32"/>
        <v>8.6466990740740768E-2</v>
      </c>
      <c r="J111" s="31">
        <f t="shared" si="33"/>
        <v>1.9498958333333538E-3</v>
      </c>
      <c r="K111" s="31"/>
      <c r="M111" s="308">
        <f t="shared" si="25"/>
        <v>23</v>
      </c>
      <c r="P111" s="36">
        <v>112</v>
      </c>
      <c r="Q111" s="43">
        <v>23</v>
      </c>
      <c r="R111" s="41">
        <v>7.8287037037037044E-2</v>
      </c>
      <c r="S111" s="35">
        <v>0</v>
      </c>
      <c r="T111" s="37">
        <v>107</v>
      </c>
      <c r="U111" s="44">
        <v>23</v>
      </c>
      <c r="V111" s="240">
        <v>8.179953703703717E-3</v>
      </c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184</v>
      </c>
      <c r="C112" s="63" t="str">
        <f t="shared" si="26"/>
        <v>AUT19961024</v>
      </c>
      <c r="D112" s="64" t="str">
        <f t="shared" si="27"/>
        <v>STATTMANN Lukas</v>
      </c>
      <c r="E112" s="65" t="str">
        <f t="shared" si="28"/>
        <v xml:space="preserve">LRV STEIERMARK </v>
      </c>
      <c r="F112" s="66">
        <f t="shared" si="29"/>
        <v>100830</v>
      </c>
      <c r="G112" s="67" t="str">
        <f t="shared" si="30"/>
        <v>JUNIOR</v>
      </c>
      <c r="H112" s="67" t="str">
        <f t="shared" si="31"/>
        <v>LRV</v>
      </c>
      <c r="I112" s="199">
        <f t="shared" si="32"/>
        <v>8.651474537037035E-2</v>
      </c>
      <c r="J112" s="31">
        <f t="shared" si="33"/>
        <v>1.9976504629629355E-3</v>
      </c>
      <c r="K112" s="31"/>
      <c r="M112" s="308">
        <f t="shared" si="25"/>
        <v>184</v>
      </c>
      <c r="P112" s="36">
        <v>96</v>
      </c>
      <c r="Q112" s="43">
        <v>184</v>
      </c>
      <c r="R112" s="41">
        <v>7.8287037037037044E-2</v>
      </c>
      <c r="S112" s="35">
        <v>0</v>
      </c>
      <c r="T112" s="37">
        <v>108</v>
      </c>
      <c r="U112" s="44">
        <v>184</v>
      </c>
      <c r="V112" s="240">
        <v>8.2277083333333126E-3</v>
      </c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73</v>
      </c>
      <c r="C113" s="63" t="str">
        <f t="shared" si="26"/>
        <v>SVK19970207</v>
      </c>
      <c r="D113" s="64" t="str">
        <f t="shared" si="27"/>
        <v>GAVENDA Miroslav</v>
      </c>
      <c r="E113" s="65" t="str">
        <f t="shared" si="28"/>
        <v>SLÁVIA ŠG TRENČÍN</v>
      </c>
      <c r="F113" s="66">
        <f t="shared" si="29"/>
        <v>6366</v>
      </c>
      <c r="G113" s="67" t="str">
        <f t="shared" si="30"/>
        <v>JUNIOR*</v>
      </c>
      <c r="H113" s="67" t="str">
        <f t="shared" si="31"/>
        <v>SLA</v>
      </c>
      <c r="I113" s="199">
        <f t="shared" si="32"/>
        <v>8.6544895833333357E-2</v>
      </c>
      <c r="J113" s="31">
        <f t="shared" si="33"/>
        <v>2.0278009259259433E-3</v>
      </c>
      <c r="K113" s="31"/>
      <c r="M113" s="308">
        <f t="shared" si="25"/>
        <v>73</v>
      </c>
      <c r="P113" s="36">
        <v>95</v>
      </c>
      <c r="Q113" s="43">
        <v>73</v>
      </c>
      <c r="R113" s="41">
        <v>7.8287037037037044E-2</v>
      </c>
      <c r="S113" s="35">
        <v>0</v>
      </c>
      <c r="T113" s="37">
        <v>109</v>
      </c>
      <c r="U113" s="44">
        <v>73</v>
      </c>
      <c r="V113" s="240">
        <v>8.2578587962963204E-3</v>
      </c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141</v>
      </c>
      <c r="C114" s="63" t="str">
        <f t="shared" si="26"/>
        <v>CZE19960716</v>
      </c>
      <c r="D114" s="64" t="str">
        <f t="shared" si="27"/>
        <v xml:space="preserve">HYNEK Matouš </v>
      </c>
      <c r="E114" s="65" t="str">
        <f t="shared" si="28"/>
        <v xml:space="preserve">MAPEI CYKLO KAŇKOVSKÝ </v>
      </c>
      <c r="F114" s="66">
        <f t="shared" si="29"/>
        <v>7803</v>
      </c>
      <c r="G114" s="67" t="str">
        <f t="shared" si="30"/>
        <v>JUNIOR</v>
      </c>
      <c r="H114" s="67" t="str">
        <f t="shared" si="31"/>
        <v>MAP</v>
      </c>
      <c r="I114" s="199">
        <f t="shared" si="32"/>
        <v>8.6627511574074084E-2</v>
      </c>
      <c r="J114" s="31">
        <f t="shared" si="33"/>
        <v>2.1104166666666702E-3</v>
      </c>
      <c r="K114" s="31"/>
      <c r="M114" s="308">
        <f t="shared" si="25"/>
        <v>141</v>
      </c>
      <c r="P114" s="36">
        <v>84</v>
      </c>
      <c r="Q114" s="43">
        <v>141</v>
      </c>
      <c r="R114" s="41">
        <v>7.8287037037037044E-2</v>
      </c>
      <c r="S114" s="35">
        <v>0</v>
      </c>
      <c r="T114" s="37">
        <v>110</v>
      </c>
      <c r="U114" s="44">
        <v>141</v>
      </c>
      <c r="V114" s="240">
        <v>8.3404745370370438E-3</v>
      </c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152</v>
      </c>
      <c r="C115" s="63" t="str">
        <f t="shared" si="26"/>
        <v>CZE19970417</v>
      </c>
      <c r="D115" s="64" t="str">
        <f t="shared" si="27"/>
        <v>KUBEŠ Martin</v>
      </c>
      <c r="E115" s="65" t="str">
        <f t="shared" si="28"/>
        <v>CK DACOM PHARMA KYJOV</v>
      </c>
      <c r="F115" s="66">
        <f t="shared" si="29"/>
        <v>13287</v>
      </c>
      <c r="G115" s="67" t="str">
        <f t="shared" si="30"/>
        <v>JUNIOR*</v>
      </c>
      <c r="H115" s="67" t="str">
        <f t="shared" si="31"/>
        <v>SKC</v>
      </c>
      <c r="I115" s="199">
        <f t="shared" si="32"/>
        <v>8.6681076388888875E-2</v>
      </c>
      <c r="J115" s="31">
        <f t="shared" si="33"/>
        <v>2.1639814814814612E-3</v>
      </c>
      <c r="K115" s="31"/>
      <c r="M115" s="308">
        <f t="shared" si="25"/>
        <v>152</v>
      </c>
      <c r="P115" s="36">
        <v>78</v>
      </c>
      <c r="Q115" s="43">
        <v>152</v>
      </c>
      <c r="R115" s="41">
        <v>7.8287037037037044E-2</v>
      </c>
      <c r="S115" s="35">
        <v>0</v>
      </c>
      <c r="T115" s="37">
        <v>111</v>
      </c>
      <c r="U115" s="44">
        <v>152</v>
      </c>
      <c r="V115" s="240">
        <v>8.3940393518518279E-3</v>
      </c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9</v>
      </c>
      <c r="C116" s="63" t="str">
        <f t="shared" si="26"/>
        <v>GER19980730</v>
      </c>
      <c r="D116" s="64" t="str">
        <f t="shared" si="27"/>
        <v>PLUNTKE Moritz</v>
      </c>
      <c r="E116" s="65" t="str">
        <f t="shared" si="28"/>
        <v>RSC TURBINE ERFURT</v>
      </c>
      <c r="F116" s="66" t="str">
        <f t="shared" si="29"/>
        <v>THÜ173593</v>
      </c>
      <c r="G116" s="67" t="str">
        <f t="shared" si="30"/>
        <v>CADET</v>
      </c>
      <c r="H116" s="67" t="str">
        <f t="shared" si="31"/>
        <v>TUR</v>
      </c>
      <c r="I116" s="199">
        <f t="shared" si="32"/>
        <v>8.6707488425925919E-2</v>
      </c>
      <c r="J116" s="31">
        <f t="shared" si="33"/>
        <v>2.1903935185185047E-3</v>
      </c>
      <c r="K116" s="31"/>
      <c r="M116" s="308">
        <f t="shared" si="25"/>
        <v>9</v>
      </c>
      <c r="P116" s="36">
        <v>105</v>
      </c>
      <c r="Q116" s="43">
        <v>9</v>
      </c>
      <c r="R116" s="41">
        <v>7.8680555555555545E-2</v>
      </c>
      <c r="S116" s="35">
        <v>0</v>
      </c>
      <c r="T116" s="37">
        <v>97</v>
      </c>
      <c r="U116" s="44">
        <v>9</v>
      </c>
      <c r="V116" s="240">
        <v>8.0269328703703718E-3</v>
      </c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153</v>
      </c>
      <c r="C117" s="63" t="str">
        <f t="shared" si="26"/>
        <v>CZE19960707</v>
      </c>
      <c r="D117" s="64" t="str">
        <f t="shared" si="27"/>
        <v>SAXA Lukáš</v>
      </c>
      <c r="E117" s="65" t="str">
        <f t="shared" si="28"/>
        <v>STEVENS ZNOJMO</v>
      </c>
      <c r="F117" s="66">
        <f t="shared" si="29"/>
        <v>20125</v>
      </c>
      <c r="G117" s="67" t="str">
        <f t="shared" si="30"/>
        <v>JUNIOR</v>
      </c>
      <c r="H117" s="67" t="str">
        <f t="shared" si="31"/>
        <v>SKC</v>
      </c>
      <c r="I117" s="199">
        <f t="shared" si="32"/>
        <v>8.6733541666666664E-2</v>
      </c>
      <c r="J117" s="31">
        <f t="shared" si="33"/>
        <v>2.2164467592592496E-3</v>
      </c>
      <c r="K117" s="31"/>
      <c r="M117" s="308">
        <f t="shared" si="25"/>
        <v>153</v>
      </c>
      <c r="P117" s="36">
        <v>104</v>
      </c>
      <c r="Q117" s="43">
        <v>153</v>
      </c>
      <c r="R117" s="41">
        <v>7.8321759259259258E-2</v>
      </c>
      <c r="S117" s="35">
        <v>0</v>
      </c>
      <c r="T117" s="37">
        <v>112</v>
      </c>
      <c r="U117" s="44">
        <v>153</v>
      </c>
      <c r="V117" s="240">
        <v>8.411782407407413E-3</v>
      </c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111</v>
      </c>
      <c r="C118" s="63" t="str">
        <f t="shared" si="26"/>
        <v>GER19960410</v>
      </c>
      <c r="D118" s="64" t="str">
        <f t="shared" si="27"/>
        <v>BECKER Alexander</v>
      </c>
      <c r="E118" s="65" t="str">
        <f t="shared" si="28"/>
        <v>TEAM BRANDENBURG - RSC COTTBUS</v>
      </c>
      <c r="F118" s="66" t="str">
        <f t="shared" si="29"/>
        <v>042439-11</v>
      </c>
      <c r="G118" s="67" t="str">
        <f t="shared" si="30"/>
        <v>JUNIOR</v>
      </c>
      <c r="H118" s="67" t="str">
        <f t="shared" si="31"/>
        <v>COT</v>
      </c>
      <c r="I118" s="199">
        <f t="shared" si="32"/>
        <v>8.676079861111112E-2</v>
      </c>
      <c r="J118" s="31">
        <f t="shared" si="33"/>
        <v>2.2437037037037061E-3</v>
      </c>
      <c r="K118" s="31"/>
      <c r="M118" s="308">
        <f t="shared" si="25"/>
        <v>111</v>
      </c>
      <c r="P118" s="36">
        <v>7</v>
      </c>
      <c r="Q118" s="43">
        <v>111</v>
      </c>
      <c r="R118" s="41">
        <v>7.8287037037037044E-2</v>
      </c>
      <c r="S118" s="35">
        <v>0</v>
      </c>
      <c r="T118" s="37">
        <v>113</v>
      </c>
      <c r="U118" s="44">
        <v>111</v>
      </c>
      <c r="V118" s="240">
        <v>8.4737615740740763E-3</v>
      </c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142</v>
      </c>
      <c r="C119" s="63" t="str">
        <f t="shared" si="26"/>
        <v>CZE19971022</v>
      </c>
      <c r="D119" s="64" t="str">
        <f t="shared" si="27"/>
        <v xml:space="preserve">KLEVETA Jakub </v>
      </c>
      <c r="E119" s="65" t="str">
        <f t="shared" si="28"/>
        <v xml:space="preserve">MAPEI CYKLO KAŇKOVSKÝ </v>
      </c>
      <c r="F119" s="66">
        <f t="shared" si="29"/>
        <v>10284</v>
      </c>
      <c r="G119" s="67" t="str">
        <f t="shared" si="30"/>
        <v>JUNIOR*</v>
      </c>
      <c r="H119" s="67" t="str">
        <f t="shared" si="31"/>
        <v>MAP</v>
      </c>
      <c r="I119" s="199">
        <f t="shared" si="32"/>
        <v>8.6766979166666702E-2</v>
      </c>
      <c r="J119" s="31">
        <f t="shared" si="33"/>
        <v>2.2498842592592883E-3</v>
      </c>
      <c r="K119" s="31"/>
      <c r="M119" s="308">
        <f t="shared" si="25"/>
        <v>142</v>
      </c>
      <c r="P119" s="36">
        <v>79</v>
      </c>
      <c r="Q119" s="43">
        <v>142</v>
      </c>
      <c r="R119" s="41">
        <v>7.8287037037037044E-2</v>
      </c>
      <c r="S119" s="35">
        <v>0</v>
      </c>
      <c r="T119" s="37">
        <v>114</v>
      </c>
      <c r="U119" s="44">
        <v>142</v>
      </c>
      <c r="V119" s="240">
        <v>8.4799421296296654E-3</v>
      </c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14</v>
      </c>
      <c r="C120" s="63" t="str">
        <f t="shared" si="26"/>
        <v>GER19970806</v>
      </c>
      <c r="D120" s="64" t="str">
        <f t="shared" si="27"/>
        <v>BINAY Noah</v>
      </c>
      <c r="E120" s="65" t="str">
        <f t="shared" si="28"/>
        <v>JUNIOREN SCHWALBE TEAM SACHSEN</v>
      </c>
      <c r="F120" s="66" t="str">
        <f t="shared" si="29"/>
        <v>SAC 142218</v>
      </c>
      <c r="G120" s="67" t="str">
        <f t="shared" si="30"/>
        <v>JUNIOR*</v>
      </c>
      <c r="H120" s="67" t="str">
        <f t="shared" si="31"/>
        <v>SCW</v>
      </c>
      <c r="I120" s="199">
        <f t="shared" si="32"/>
        <v>8.6882939814814791E-2</v>
      </c>
      <c r="J120" s="31">
        <f t="shared" si="33"/>
        <v>2.3658449074073773E-3</v>
      </c>
      <c r="K120" s="31"/>
      <c r="M120" s="308">
        <f t="shared" si="25"/>
        <v>14</v>
      </c>
      <c r="P120" s="36">
        <v>59</v>
      </c>
      <c r="Q120" s="43">
        <v>14</v>
      </c>
      <c r="R120" s="41">
        <v>7.8287037037037044E-2</v>
      </c>
      <c r="S120" s="35">
        <v>0</v>
      </c>
      <c r="T120" s="37">
        <v>116</v>
      </c>
      <c r="U120" s="44">
        <v>14</v>
      </c>
      <c r="V120" s="240">
        <v>8.5959027777777544E-3</v>
      </c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47</v>
      </c>
      <c r="C121" s="63" t="str">
        <f t="shared" si="26"/>
        <v>CZE19960509</v>
      </c>
      <c r="D121" s="64" t="str">
        <f t="shared" si="27"/>
        <v xml:space="preserve">PRENĚK Ondřej </v>
      </c>
      <c r="E121" s="65" t="str">
        <f t="shared" si="28"/>
        <v>KC KOOPERATIVA SG JABLONEC N.N</v>
      </c>
      <c r="F121" s="66">
        <f t="shared" si="29"/>
        <v>19279</v>
      </c>
      <c r="G121" s="67" t="str">
        <f t="shared" si="30"/>
        <v>JUNIOR</v>
      </c>
      <c r="H121" s="67" t="str">
        <f t="shared" si="31"/>
        <v>KOO</v>
      </c>
      <c r="I121" s="199">
        <f t="shared" si="32"/>
        <v>8.8110578703703701E-2</v>
      </c>
      <c r="J121" s="31">
        <f t="shared" si="33"/>
        <v>3.5934837962962873E-3</v>
      </c>
      <c r="K121" s="31"/>
      <c r="M121" s="308">
        <f t="shared" si="25"/>
        <v>47</v>
      </c>
      <c r="P121" s="36">
        <v>109</v>
      </c>
      <c r="Q121" s="43">
        <v>47</v>
      </c>
      <c r="R121" s="41">
        <v>7.9548611111111112E-2</v>
      </c>
      <c r="S121" s="35">
        <v>0</v>
      </c>
      <c r="T121" s="37">
        <v>115</v>
      </c>
      <c r="U121" s="44">
        <v>47</v>
      </c>
      <c r="V121" s="240">
        <v>8.5619675925925932E-3</v>
      </c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135</v>
      </c>
      <c r="C122" s="63" t="str">
        <f t="shared" si="26"/>
        <v>AUT19970502</v>
      </c>
      <c r="D122" s="64" t="str">
        <f t="shared" si="27"/>
        <v>RECKENDORFER Lukas</v>
      </c>
      <c r="E122" s="65" t="str">
        <f t="shared" si="28"/>
        <v>RC ARBÖ WELS GOURMETFEIN</v>
      </c>
      <c r="F122" s="66">
        <f t="shared" si="29"/>
        <v>100756</v>
      </c>
      <c r="G122" s="67" t="str">
        <f t="shared" si="30"/>
        <v>JUNIOR*</v>
      </c>
      <c r="H122" s="67" t="str">
        <f t="shared" si="31"/>
        <v>RCA</v>
      </c>
      <c r="I122" s="199">
        <f t="shared" si="32"/>
        <v>9.1701192129629627E-2</v>
      </c>
      <c r="J122" s="31">
        <f t="shared" si="33"/>
        <v>7.1840972222222133E-3</v>
      </c>
      <c r="K122" s="31"/>
      <c r="M122" s="308">
        <f t="shared" si="25"/>
        <v>135</v>
      </c>
      <c r="P122" s="36">
        <v>111</v>
      </c>
      <c r="Q122" s="43">
        <v>135</v>
      </c>
      <c r="R122" s="41">
        <v>8.3749999999999991E-2</v>
      </c>
      <c r="S122" s="35">
        <v>0</v>
      </c>
      <c r="T122" s="37">
        <v>90</v>
      </c>
      <c r="U122" s="44">
        <v>135</v>
      </c>
      <c r="V122" s="240">
        <v>7.9511921296296327E-3</v>
      </c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 t="shared" si="26"/>
        <v>AUT19970406</v>
      </c>
      <c r="D123" s="64" t="str">
        <f t="shared" si="27"/>
        <v>WINTER Stefan</v>
      </c>
      <c r="E123" s="65" t="str">
        <f t="shared" si="28"/>
        <v xml:space="preserve">LRV STEIERMARK </v>
      </c>
      <c r="F123" s="66">
        <f t="shared" si="29"/>
        <v>100838</v>
      </c>
      <c r="G123" s="67" t="str">
        <f t="shared" si="30"/>
        <v>JUNIOR*</v>
      </c>
      <c r="H123" s="67" t="str">
        <f t="shared" si="31"/>
        <v>LRV</v>
      </c>
      <c r="I123" s="199">
        <f t="shared" si="32"/>
        <v>9.1788715277777766E-2</v>
      </c>
      <c r="J123" s="31">
        <f t="shared" si="33"/>
        <v>7.2716203703703519E-3</v>
      </c>
      <c r="K123" s="31"/>
      <c r="M123" s="308">
        <f t="shared" si="25"/>
        <v>186</v>
      </c>
      <c r="P123" s="36">
        <v>110</v>
      </c>
      <c r="Q123" s="43">
        <v>186</v>
      </c>
      <c r="R123" s="41">
        <v>8.3749999999999991E-2</v>
      </c>
      <c r="S123" s="35">
        <v>0</v>
      </c>
      <c r="T123" s="37">
        <v>98</v>
      </c>
      <c r="U123" s="44">
        <v>186</v>
      </c>
      <c r="V123" s="240">
        <v>8.0387152777777714E-3</v>
      </c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54</v>
      </c>
      <c r="C124" s="63" t="str">
        <f t="shared" si="26"/>
        <v>POL19960621</v>
      </c>
      <c r="D124" s="64" t="str">
        <f t="shared" si="27"/>
        <v>TROSZOK Robert</v>
      </c>
      <c r="E124" s="65" t="str">
        <f t="shared" si="28"/>
        <v>GRUPA KOLARSKA GLIWICE BA</v>
      </c>
      <c r="F124" s="66" t="str">
        <f t="shared" si="29"/>
        <v>SLA231</v>
      </c>
      <c r="G124" s="67" t="str">
        <f t="shared" si="30"/>
        <v>JUNIOR</v>
      </c>
      <c r="H124" s="67" t="str">
        <f t="shared" si="31"/>
        <v>GLI</v>
      </c>
      <c r="I124" s="199">
        <f t="shared" si="32"/>
        <v>9.3563981481481484E-2</v>
      </c>
      <c r="J124" s="31">
        <f t="shared" si="33"/>
        <v>9.04688657407407E-3</v>
      </c>
      <c r="K124" s="31"/>
      <c r="M124" s="308">
        <f t="shared" si="25"/>
        <v>54</v>
      </c>
      <c r="P124" s="36">
        <v>114</v>
      </c>
      <c r="Q124" s="43">
        <v>54</v>
      </c>
      <c r="R124" s="41">
        <v>8.6064814814814816E-2</v>
      </c>
      <c r="S124" s="35">
        <v>0</v>
      </c>
      <c r="T124" s="37">
        <v>54</v>
      </c>
      <c r="U124" s="44">
        <v>54</v>
      </c>
      <c r="V124" s="240">
        <v>7.4991666666666644E-3</v>
      </c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46</v>
      </c>
      <c r="C125" s="63" t="str">
        <f t="shared" si="26"/>
        <v>CZE19980811</v>
      </c>
      <c r="D125" s="64" t="str">
        <f t="shared" si="27"/>
        <v xml:space="preserve">NOVOTNÝ Jakub </v>
      </c>
      <c r="E125" s="65" t="str">
        <f t="shared" si="28"/>
        <v>KC KOOPERATIVA SG JABLONEC N.N</v>
      </c>
      <c r="F125" s="66">
        <f t="shared" si="29"/>
        <v>19278</v>
      </c>
      <c r="G125" s="67" t="str">
        <f t="shared" si="30"/>
        <v>CADET</v>
      </c>
      <c r="H125" s="67" t="str">
        <f t="shared" si="31"/>
        <v>KOO</v>
      </c>
      <c r="I125" s="199">
        <f t="shared" si="32"/>
        <v>9.5774212962962971E-2</v>
      </c>
      <c r="J125" s="31">
        <f t="shared" si="33"/>
        <v>1.1257118055555557E-2</v>
      </c>
      <c r="K125" s="31"/>
      <c r="M125" s="308">
        <f t="shared" si="25"/>
        <v>46</v>
      </c>
      <c r="P125" s="36">
        <v>116</v>
      </c>
      <c r="Q125" s="43">
        <v>46</v>
      </c>
      <c r="R125" s="41">
        <v>8.7870370370370376E-2</v>
      </c>
      <c r="S125" s="35">
        <v>0</v>
      </c>
      <c r="T125" s="37">
        <v>86</v>
      </c>
      <c r="U125" s="44">
        <v>46</v>
      </c>
      <c r="V125" s="240">
        <v>7.9038425925925908E-3</v>
      </c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103</v>
      </c>
      <c r="C126" s="63" t="str">
        <f t="shared" si="26"/>
        <v>CZE19970319</v>
      </c>
      <c r="D126" s="64" t="str">
        <f t="shared" si="27"/>
        <v xml:space="preserve">NEUMAN Daniel </v>
      </c>
      <c r="E126" s="65" t="str">
        <f t="shared" si="28"/>
        <v xml:space="preserve">TJ STADION LOUNY </v>
      </c>
      <c r="F126" s="66">
        <f t="shared" si="29"/>
        <v>9610</v>
      </c>
      <c r="G126" s="67" t="str">
        <f t="shared" si="30"/>
        <v>JUNIOR*</v>
      </c>
      <c r="H126" s="67" t="str">
        <f t="shared" si="31"/>
        <v>LOU</v>
      </c>
      <c r="I126" s="199">
        <f t="shared" si="32"/>
        <v>9.5863900462962975E-2</v>
      </c>
      <c r="J126" s="31">
        <f t="shared" si="33"/>
        <v>1.1346805555555561E-2</v>
      </c>
      <c r="K126" s="31"/>
      <c r="M126" s="308">
        <f t="shared" si="25"/>
        <v>103</v>
      </c>
      <c r="P126" s="36">
        <v>117</v>
      </c>
      <c r="Q126" s="43">
        <v>103</v>
      </c>
      <c r="R126" s="41">
        <v>8.7870370370370376E-2</v>
      </c>
      <c r="S126" s="35">
        <v>0</v>
      </c>
      <c r="T126" s="37">
        <v>93</v>
      </c>
      <c r="U126" s="44">
        <v>103</v>
      </c>
      <c r="V126" s="240">
        <v>7.993530092592592E-3</v>
      </c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72</v>
      </c>
      <c r="C127" s="63" t="str">
        <f t="shared" si="26"/>
        <v>SVK19960505</v>
      </c>
      <c r="D127" s="64" t="str">
        <f t="shared" si="27"/>
        <v>GANC Marek</v>
      </c>
      <c r="E127" s="65" t="str">
        <f t="shared" si="28"/>
        <v>SLÁVIA ŠG TRENČÍN</v>
      </c>
      <c r="F127" s="66">
        <f t="shared" si="29"/>
        <v>5847</v>
      </c>
      <c r="G127" s="67" t="str">
        <f t="shared" si="30"/>
        <v>JUNIOR</v>
      </c>
      <c r="H127" s="67" t="str">
        <f t="shared" si="31"/>
        <v>SLA</v>
      </c>
      <c r="I127" s="199">
        <f t="shared" si="32"/>
        <v>9.5991736111111114E-2</v>
      </c>
      <c r="J127" s="31">
        <f t="shared" si="33"/>
        <v>1.14746412037037E-2</v>
      </c>
      <c r="K127" s="31"/>
      <c r="M127" s="308">
        <f t="shared" si="25"/>
        <v>72</v>
      </c>
      <c r="P127" s="36">
        <v>115</v>
      </c>
      <c r="Q127" s="43">
        <v>72</v>
      </c>
      <c r="R127" s="41">
        <v>8.7870370370370376E-2</v>
      </c>
      <c r="S127" s="35">
        <v>0</v>
      </c>
      <c r="T127" s="37">
        <v>104</v>
      </c>
      <c r="U127" s="44">
        <v>72</v>
      </c>
      <c r="V127" s="240">
        <v>8.121365740740745E-3</v>
      </c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74</v>
      </c>
      <c r="C128" s="63" t="str">
        <f t="shared" si="26"/>
        <v>SVK19980324</v>
      </c>
      <c r="D128" s="64" t="str">
        <f t="shared" si="27"/>
        <v>KOVÁČ Milan</v>
      </c>
      <c r="E128" s="65" t="str">
        <f t="shared" si="28"/>
        <v>SLÁVIA ŠG TRENČÍN</v>
      </c>
      <c r="F128" s="66">
        <f t="shared" si="29"/>
        <v>5908</v>
      </c>
      <c r="G128" s="67" t="str">
        <f t="shared" si="30"/>
        <v>CADET</v>
      </c>
      <c r="H128" s="67" t="str">
        <f t="shared" si="31"/>
        <v>SLA</v>
      </c>
      <c r="I128" s="199">
        <f t="shared" si="32"/>
        <v>9.6478854166666669E-2</v>
      </c>
      <c r="J128" s="31">
        <f t="shared" si="33"/>
        <v>1.1961759259259255E-2</v>
      </c>
      <c r="K128" s="31"/>
      <c r="M128" s="308">
        <f t="shared" si="25"/>
        <v>74</v>
      </c>
      <c r="P128" s="36">
        <v>118</v>
      </c>
      <c r="Q128" s="43">
        <v>74</v>
      </c>
      <c r="R128" s="41">
        <v>8.7870370370370376E-2</v>
      </c>
      <c r="S128" s="35">
        <v>0</v>
      </c>
      <c r="T128" s="37">
        <v>117</v>
      </c>
      <c r="U128" s="44">
        <v>74</v>
      </c>
      <c r="V128" s="240">
        <v>8.6084837962962964E-3</v>
      </c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1</v>
      </c>
      <c r="C129" s="63" t="str">
        <f t="shared" si="26"/>
        <v>GER19970725</v>
      </c>
      <c r="D129" s="64" t="str">
        <f t="shared" si="27"/>
        <v>MAGDEBURG Tobias</v>
      </c>
      <c r="E129" s="65" t="str">
        <f t="shared" si="28"/>
        <v>RSV SONNEBERG</v>
      </c>
      <c r="F129" s="66" t="str">
        <f t="shared" si="29"/>
        <v>THÜ173735</v>
      </c>
      <c r="G129" s="67" t="str">
        <f t="shared" si="30"/>
        <v>JUNIOR*</v>
      </c>
      <c r="H129" s="67" t="str">
        <f t="shared" si="31"/>
        <v>TUR</v>
      </c>
      <c r="I129" s="199" t="s">
        <v>121</v>
      </c>
      <c r="J129" s="31"/>
      <c r="K129" s="31"/>
      <c r="M129" s="308"/>
      <c r="P129" s="36"/>
      <c r="Q129" s="43">
        <v>1</v>
      </c>
      <c r="R129" s="41" t="s">
        <v>121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32</v>
      </c>
      <c r="C130" s="63" t="str">
        <f t="shared" si="26"/>
        <v>CZE19970916</v>
      </c>
      <c r="D130" s="64" t="str">
        <f t="shared" si="27"/>
        <v xml:space="preserve">KUNT Lukáš </v>
      </c>
      <c r="E130" s="65" t="str">
        <f t="shared" si="28"/>
        <v xml:space="preserve">REMERX - MERIDA TEAM KOLÍN </v>
      </c>
      <c r="F130" s="66">
        <f t="shared" si="29"/>
        <v>14658</v>
      </c>
      <c r="G130" s="67" t="str">
        <f t="shared" si="30"/>
        <v>JUNIOR*</v>
      </c>
      <c r="H130" s="67" t="str">
        <f t="shared" si="31"/>
        <v>REM</v>
      </c>
      <c r="I130" s="199" t="s">
        <v>121</v>
      </c>
      <c r="J130" s="31"/>
      <c r="K130" s="31"/>
      <c r="M130" s="308"/>
      <c r="P130" s="36">
        <v>86</v>
      </c>
      <c r="Q130" s="43">
        <v>32</v>
      </c>
      <c r="R130" s="41">
        <v>7.8287037037037044E-2</v>
      </c>
      <c r="S130" s="35">
        <v>0</v>
      </c>
      <c r="T130" s="37"/>
      <c r="U130" s="44">
        <v>32</v>
      </c>
      <c r="V130" s="240" t="s">
        <v>127</v>
      </c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33</v>
      </c>
      <c r="C131" s="63" t="str">
        <f t="shared" si="26"/>
        <v>CZE19970913</v>
      </c>
      <c r="D131" s="64" t="str">
        <f t="shared" si="27"/>
        <v xml:space="preserve">VOJÍŘ Jaroslav </v>
      </c>
      <c r="E131" s="65" t="str">
        <f t="shared" si="28"/>
        <v xml:space="preserve">REMERX - MERIDA TEAM KOLÍN </v>
      </c>
      <c r="F131" s="66">
        <f t="shared" si="29"/>
        <v>12178</v>
      </c>
      <c r="G131" s="67" t="str">
        <f t="shared" si="30"/>
        <v>JUNIOR*</v>
      </c>
      <c r="H131" s="67" t="str">
        <f t="shared" si="31"/>
        <v>REM</v>
      </c>
      <c r="I131" s="199" t="s">
        <v>121</v>
      </c>
      <c r="J131" s="31"/>
      <c r="K131" s="31"/>
      <c r="M131" s="308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61</v>
      </c>
      <c r="C132" s="63" t="str">
        <f t="shared" si="26"/>
        <v>POL19960305</v>
      </c>
      <c r="D132" s="64" t="str">
        <f t="shared" si="27"/>
        <v>PRZEWIĘDA Paweł</v>
      </c>
      <c r="E132" s="65" t="str">
        <f t="shared" si="28"/>
        <v xml:space="preserve">DSR AUTHOR GÓRNIK WAŁBRZYCH </v>
      </c>
      <c r="F132" s="66" t="str">
        <f t="shared" si="29"/>
        <v>DLS177</v>
      </c>
      <c r="G132" s="67" t="str">
        <f t="shared" si="30"/>
        <v>JUNIOR</v>
      </c>
      <c r="H132" s="67" t="str">
        <f t="shared" si="31"/>
        <v>GOR</v>
      </c>
      <c r="I132" s="199" t="s">
        <v>121</v>
      </c>
      <c r="J132" s="31"/>
      <c r="K132" s="31"/>
      <c r="M132" s="308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64</v>
      </c>
      <c r="C133" s="63" t="str">
        <f t="shared" si="26"/>
        <v>POL19960504</v>
      </c>
      <c r="D133" s="64" t="str">
        <f t="shared" si="27"/>
        <v>POLKOWSKI Bartłomiej</v>
      </c>
      <c r="E133" s="65" t="str">
        <f t="shared" si="28"/>
        <v xml:space="preserve">DSR AUTHOR GÓRNIK WAŁBRZYCH </v>
      </c>
      <c r="F133" s="66" t="str">
        <f t="shared" si="29"/>
        <v>DLS162</v>
      </c>
      <c r="G133" s="67" t="str">
        <f t="shared" si="30"/>
        <v>JUNIOR</v>
      </c>
      <c r="H133" s="67" t="str">
        <f t="shared" si="31"/>
        <v>GOR</v>
      </c>
      <c r="I133" s="199" t="s">
        <v>121</v>
      </c>
      <c r="J133" s="31"/>
      <c r="K133" s="31"/>
      <c r="M133" s="308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66</v>
      </c>
      <c r="C134" s="63" t="str">
        <f t="shared" si="26"/>
        <v>POL19980719</v>
      </c>
      <c r="D134" s="64" t="str">
        <f t="shared" si="27"/>
        <v>NOWAK Michał</v>
      </c>
      <c r="E134" s="65" t="str">
        <f t="shared" si="28"/>
        <v xml:space="preserve">DSR AUTHOR GÓRNIK WAŁBRZYCH </v>
      </c>
      <c r="F134" s="66" t="str">
        <f t="shared" si="29"/>
        <v>DLS163</v>
      </c>
      <c r="G134" s="67" t="str">
        <f t="shared" si="30"/>
        <v>CADET</v>
      </c>
      <c r="H134" s="67" t="str">
        <f t="shared" si="31"/>
        <v>GOR</v>
      </c>
      <c r="I134" s="199" t="s">
        <v>121</v>
      </c>
      <c r="J134" s="31"/>
      <c r="K134" s="31"/>
      <c r="M134" s="308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91</v>
      </c>
      <c r="C135" s="63" t="str">
        <f t="shared" si="26"/>
        <v>CZE19970324</v>
      </c>
      <c r="D135" s="64" t="str">
        <f t="shared" si="27"/>
        <v xml:space="preserve">DUBOVSKÝ Jakub </v>
      </c>
      <c r="E135" s="65" t="str">
        <f t="shared" si="28"/>
        <v xml:space="preserve">TJ FAVORIT BRNO </v>
      </c>
      <c r="F135" s="66">
        <f t="shared" si="29"/>
        <v>13738</v>
      </c>
      <c r="G135" s="67" t="str">
        <f t="shared" si="30"/>
        <v>JUNIOR*</v>
      </c>
      <c r="H135" s="67" t="str">
        <f t="shared" si="31"/>
        <v>FAV</v>
      </c>
      <c r="I135" s="199" t="s">
        <v>121</v>
      </c>
      <c r="J135" s="31"/>
      <c r="K135" s="31"/>
      <c r="M135" s="308"/>
      <c r="P135" s="36"/>
      <c r="Q135" s="43">
        <v>91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92</v>
      </c>
      <c r="C136" s="63" t="str">
        <f t="shared" si="26"/>
        <v>CZE19970414</v>
      </c>
      <c r="D136" s="64" t="str">
        <f t="shared" si="27"/>
        <v xml:space="preserve">DVOŘÁK Jakub </v>
      </c>
      <c r="E136" s="65" t="str">
        <f t="shared" si="28"/>
        <v xml:space="preserve">TJ FAVORIT BRNO </v>
      </c>
      <c r="F136" s="66">
        <f t="shared" si="29"/>
        <v>14284</v>
      </c>
      <c r="G136" s="67" t="str">
        <f t="shared" si="30"/>
        <v>JUNIOR*</v>
      </c>
      <c r="H136" s="67" t="str">
        <f t="shared" si="31"/>
        <v>FAV</v>
      </c>
      <c r="I136" s="199" t="s">
        <v>121</v>
      </c>
      <c r="J136" s="31"/>
      <c r="K136" s="31"/>
      <c r="M136" s="308"/>
      <c r="P136" s="36"/>
      <c r="Q136" s="43">
        <v>92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98</v>
      </c>
      <c r="C137" s="63" t="str">
        <f t="shared" si="26"/>
        <v>CZE19961029</v>
      </c>
      <c r="D137" s="64" t="str">
        <f t="shared" si="27"/>
        <v xml:space="preserve">STŘEDA Kryštof </v>
      </c>
      <c r="E137" s="65" t="str">
        <f t="shared" si="28"/>
        <v xml:space="preserve">TJ FAVORIT BRNO </v>
      </c>
      <c r="F137" s="66">
        <f t="shared" si="29"/>
        <v>11566</v>
      </c>
      <c r="G137" s="67" t="str">
        <f t="shared" si="30"/>
        <v>JUNIOR</v>
      </c>
      <c r="H137" s="67" t="str">
        <f t="shared" si="31"/>
        <v>FAV</v>
      </c>
      <c r="I137" s="199" t="s">
        <v>121</v>
      </c>
      <c r="J137" s="31"/>
      <c r="K137" s="31"/>
      <c r="M137" s="308"/>
      <c r="P137" s="36"/>
      <c r="Q137" s="43">
        <v>98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102</v>
      </c>
      <c r="C138" s="63" t="str">
        <f t="shared" si="26"/>
        <v>CZE19991218</v>
      </c>
      <c r="D138" s="64" t="str">
        <f t="shared" si="27"/>
        <v xml:space="preserve">HOLUBOVSKÝ Ondřej </v>
      </c>
      <c r="E138" s="65" t="str">
        <f t="shared" si="28"/>
        <v xml:space="preserve">TJ STADION LOUNY </v>
      </c>
      <c r="F138" s="66">
        <f t="shared" si="29"/>
        <v>12235</v>
      </c>
      <c r="G138" s="67" t="str">
        <f t="shared" si="30"/>
        <v>CADET*</v>
      </c>
      <c r="H138" s="67" t="str">
        <f t="shared" si="31"/>
        <v>LOU</v>
      </c>
      <c r="I138" s="199" t="s">
        <v>121</v>
      </c>
      <c r="J138" s="31"/>
      <c r="K138" s="31"/>
      <c r="M138" s="308"/>
      <c r="P138" s="36"/>
      <c r="Q138" s="43">
        <v>102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104</v>
      </c>
      <c r="C139" s="63" t="str">
        <f t="shared" si="26"/>
        <v>CZE19960702</v>
      </c>
      <c r="D139" s="64" t="str">
        <f t="shared" si="27"/>
        <v>DULAJ Jan</v>
      </c>
      <c r="E139" s="65" t="str">
        <f t="shared" si="28"/>
        <v>SKP DUHA FORT LANŠKROUN</v>
      </c>
      <c r="F139" s="66">
        <f t="shared" si="29"/>
        <v>119368</v>
      </c>
      <c r="G139" s="67" t="str">
        <f t="shared" si="30"/>
        <v>JUNIOR</v>
      </c>
      <c r="H139" s="67" t="str">
        <f t="shared" si="31"/>
        <v>LOU</v>
      </c>
      <c r="I139" s="199" t="s">
        <v>121</v>
      </c>
      <c r="J139" s="31"/>
      <c r="K139" s="31"/>
      <c r="M139" s="308"/>
      <c r="P139" s="36"/>
      <c r="Q139" s="43">
        <v>104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121</v>
      </c>
      <c r="C140" s="63" t="str">
        <f t="shared" ref="C140:C141" si="34">VLOOKUP(B140,STARTOVKA,2,0)</f>
        <v>CZE19981231</v>
      </c>
      <c r="D140" s="64" t="str">
        <f t="shared" si="27"/>
        <v xml:space="preserve">BAJER Vilém </v>
      </c>
      <c r="E140" s="65" t="str">
        <f t="shared" si="28"/>
        <v xml:space="preserve">SKC TUFO PROSTĚJOV </v>
      </c>
      <c r="F140" s="66">
        <f t="shared" si="29"/>
        <v>6871</v>
      </c>
      <c r="G140" s="67" t="str">
        <f t="shared" si="30"/>
        <v>CADET</v>
      </c>
      <c r="H140" s="67" t="str">
        <f t="shared" si="31"/>
        <v>SKC</v>
      </c>
      <c r="I140" s="199" t="s">
        <v>121</v>
      </c>
      <c r="J140" s="31"/>
      <c r="K140" s="31"/>
      <c r="M140" s="308"/>
      <c r="P140" s="36"/>
      <c r="Q140" s="43">
        <v>121</v>
      </c>
      <c r="R140" s="41" t="s">
        <v>550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138</v>
      </c>
      <c r="C141" s="63" t="str">
        <f t="shared" si="34"/>
        <v>CZE19961125</v>
      </c>
      <c r="D141" s="64" t="str">
        <f t="shared" si="27"/>
        <v xml:space="preserve">MODLITBA Vojtěch </v>
      </c>
      <c r="E141" s="65" t="str">
        <f t="shared" si="28"/>
        <v xml:space="preserve">H.M. SPORT ČESKÝ KRUMLOV </v>
      </c>
      <c r="F141" s="66">
        <f t="shared" si="29"/>
        <v>9819</v>
      </c>
      <c r="G141" s="67" t="str">
        <f t="shared" si="30"/>
        <v>JUNIOR</v>
      </c>
      <c r="H141" s="67" t="str">
        <f t="shared" si="31"/>
        <v>RCA</v>
      </c>
      <c r="I141" s="199" t="s">
        <v>121</v>
      </c>
      <c r="J141" s="31"/>
      <c r="K141" s="31"/>
      <c r="M141" s="308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585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2</v>
      </c>
      <c r="C147" s="1"/>
      <c r="D147" s="151" t="s">
        <v>551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18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18" s="5" customFormat="1" ht="15" customHeight="1" x14ac:dyDescent="0.2">
      <c r="B149" s="192">
        <v>117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117  -   KANTER Max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2"/>
      <c r="C153" s="32" t="s">
        <v>131</v>
      </c>
      <c r="D153" s="33"/>
      <c r="E153" s="33"/>
      <c r="F153" s="33"/>
    </row>
    <row r="154" spans="2:18" s="5" customFormat="1" ht="5.25" customHeight="1" x14ac:dyDescent="0.2">
      <c r="B154" s="10"/>
      <c r="C154" s="9"/>
      <c r="D154" s="11"/>
      <c r="E154" s="8"/>
    </row>
    <row r="155" spans="2:18" s="5" customFormat="1" ht="12" customHeight="1" x14ac:dyDescent="0.2">
      <c r="B155" s="18">
        <v>1</v>
      </c>
      <c r="C155" s="135" t="s">
        <v>170</v>
      </c>
      <c r="D155" s="70" t="str">
        <f t="shared" ref="D155:D172" si="35">IFERROR(MID(VLOOKUP($C155,ODDIL,2,0),1,FIND(",",VLOOKUP($C155,ODDIL,2,0),1)-1) &amp;  "…", VLOOKUP($C155,ODDIL,2,0))</f>
        <v>TEAM BRANDENBURG - RSC COTTBUS</v>
      </c>
    </row>
    <row r="156" spans="2:18" s="5" customFormat="1" ht="12" customHeight="1" x14ac:dyDescent="0.2">
      <c r="B156" s="18">
        <v>2</v>
      </c>
      <c r="C156" s="135" t="s">
        <v>478</v>
      </c>
      <c r="D156" s="70" t="str">
        <f t="shared" si="35"/>
        <v>RSC TURBINE ERFURT…</v>
      </c>
      <c r="R156" s="117"/>
    </row>
    <row r="157" spans="2:18" s="5" customFormat="1" ht="12" customHeight="1" x14ac:dyDescent="0.2">
      <c r="B157" s="18">
        <v>3</v>
      </c>
      <c r="C157" s="135" t="s">
        <v>294</v>
      </c>
      <c r="D157" s="70" t="str">
        <f t="shared" si="35"/>
        <v xml:space="preserve">LRV STEIERMARK </v>
      </c>
      <c r="G157" s="165"/>
      <c r="R157" s="118"/>
    </row>
    <row r="158" spans="2:18" s="5" customFormat="1" ht="12" customHeight="1" x14ac:dyDescent="0.2">
      <c r="B158" s="18">
        <v>4</v>
      </c>
      <c r="C158" s="135" t="s">
        <v>310</v>
      </c>
      <c r="D158" s="70" t="str">
        <f t="shared" si="35"/>
        <v xml:space="preserve">MAPEI CYKLO KAŇKOVSKÝ </v>
      </c>
      <c r="F158" s="15"/>
    </row>
    <row r="159" spans="2:18" s="5" customFormat="1" ht="12" customHeight="1" x14ac:dyDescent="0.2">
      <c r="B159" s="18">
        <v>5</v>
      </c>
      <c r="C159" s="135" t="s">
        <v>250</v>
      </c>
      <c r="D159" s="70" t="str">
        <f t="shared" si="35"/>
        <v>KC KOOPERATIVA SG JABLONEC N.N…</v>
      </c>
    </row>
    <row r="160" spans="2:18" s="5" customFormat="1" ht="12" customHeight="1" x14ac:dyDescent="0.2">
      <c r="B160" s="18">
        <v>6</v>
      </c>
      <c r="C160" s="135" t="s">
        <v>236</v>
      </c>
      <c r="D160" s="70" t="str">
        <f t="shared" si="35"/>
        <v xml:space="preserve">DSR AUTHOR GÓRNIK WAŁBRZYCH </v>
      </c>
      <c r="F160" s="223"/>
      <c r="G160" s="223"/>
      <c r="H160" s="223"/>
      <c r="I160" s="223"/>
      <c r="J160" s="223"/>
    </row>
    <row r="161" spans="1:11" s="5" customFormat="1" ht="12" customHeight="1" x14ac:dyDescent="0.2">
      <c r="B161" s="18">
        <v>7</v>
      </c>
      <c r="C161" s="135" t="s">
        <v>43</v>
      </c>
      <c r="D161" s="70" t="str">
        <f t="shared" si="35"/>
        <v xml:space="preserve">SLOVAK CYCLING FEDERATION </v>
      </c>
      <c r="F161" s="223"/>
      <c r="G161" s="223"/>
      <c r="H161" s="223"/>
      <c r="I161" s="223"/>
      <c r="J161" s="223"/>
    </row>
    <row r="162" spans="1:11" s="5" customFormat="1" ht="12" customHeight="1" x14ac:dyDescent="0.2">
      <c r="B162" s="18">
        <v>8</v>
      </c>
      <c r="C162" s="135" t="s">
        <v>99</v>
      </c>
      <c r="D162" s="70" t="str">
        <f t="shared" si="35"/>
        <v>RUSSIAN CYCLING FEDERATION</v>
      </c>
      <c r="F162" s="223"/>
      <c r="G162" s="223"/>
      <c r="H162" s="223"/>
      <c r="I162" s="223"/>
      <c r="J162" s="223"/>
    </row>
    <row r="163" spans="1:11" s="5" customFormat="1" ht="12" customHeight="1" x14ac:dyDescent="0.2">
      <c r="B163" s="18">
        <v>9</v>
      </c>
      <c r="C163" s="135" t="s">
        <v>381</v>
      </c>
      <c r="D163" s="70" t="str">
        <f t="shared" si="35"/>
        <v>RG BERLIN</v>
      </c>
      <c r="F163" s="223"/>
      <c r="G163" s="223"/>
      <c r="H163" s="223"/>
      <c r="I163" s="223"/>
      <c r="J163" s="223"/>
    </row>
    <row r="164" spans="1:11" s="5" customFormat="1" ht="12" customHeight="1" x14ac:dyDescent="0.2">
      <c r="B164" s="18">
        <v>10</v>
      </c>
      <c r="C164" s="135" t="s">
        <v>211</v>
      </c>
      <c r="D164" s="70" t="str">
        <f t="shared" si="35"/>
        <v>GRUPA KOLARSKA GLIWICE BA…</v>
      </c>
      <c r="F164" s="223"/>
      <c r="G164" s="223"/>
      <c r="H164" s="223"/>
      <c r="I164" s="223"/>
      <c r="J164" s="223"/>
    </row>
    <row r="165" spans="1:11" s="5" customFormat="1" ht="12" customHeight="1" x14ac:dyDescent="0.2">
      <c r="B165" s="18">
        <v>11</v>
      </c>
      <c r="C165" s="135" t="s">
        <v>100</v>
      </c>
      <c r="D165" s="70" t="str">
        <f t="shared" si="35"/>
        <v>SKC TUFO PROSTĚJOV…</v>
      </c>
      <c r="F165" s="223"/>
      <c r="G165" s="223"/>
      <c r="H165" s="223"/>
      <c r="I165" s="223"/>
      <c r="J165" s="223"/>
    </row>
    <row r="166" spans="1:11" s="5" customFormat="1" ht="12" customHeight="1" x14ac:dyDescent="0.2">
      <c r="B166" s="18">
        <v>12</v>
      </c>
      <c r="C166" s="135" t="s">
        <v>274</v>
      </c>
      <c r="D166" s="70" t="str">
        <f t="shared" si="35"/>
        <v>TJ STADION LOUNY …</v>
      </c>
      <c r="F166" s="15"/>
      <c r="G166" s="15"/>
      <c r="H166" s="15"/>
      <c r="I166" s="15"/>
      <c r="J166" s="15"/>
    </row>
    <row r="167" spans="1:11" s="5" customFormat="1" ht="12" customHeight="1" x14ac:dyDescent="0.2">
      <c r="B167" s="18">
        <v>13</v>
      </c>
      <c r="C167" s="135" t="s">
        <v>42</v>
      </c>
      <c r="D167" s="70" t="str">
        <f t="shared" si="35"/>
        <v xml:space="preserve">TJ FAVORIT BRNO </v>
      </c>
      <c r="F167" s="223"/>
      <c r="G167" s="223"/>
      <c r="H167" s="223"/>
      <c r="I167" s="223"/>
      <c r="J167" s="223"/>
    </row>
    <row r="168" spans="1:11" s="5" customFormat="1" ht="12" customHeight="1" x14ac:dyDescent="0.2">
      <c r="B168" s="18">
        <v>14</v>
      </c>
      <c r="C168" s="135" t="s">
        <v>360</v>
      </c>
      <c r="D168" s="70" t="str">
        <f t="shared" si="35"/>
        <v>RC ARBÖ WELS GOURMETFEIN…</v>
      </c>
      <c r="F168" s="223"/>
      <c r="G168" s="223"/>
      <c r="H168" s="223"/>
      <c r="I168" s="223"/>
      <c r="J168" s="223"/>
    </row>
    <row r="169" spans="1:11" s="5" customFormat="1" ht="12" customHeight="1" x14ac:dyDescent="0.2">
      <c r="B169" s="18">
        <v>15</v>
      </c>
      <c r="C169" s="135" t="s">
        <v>332</v>
      </c>
      <c r="D169" s="70" t="str">
        <f t="shared" si="35"/>
        <v>REMERX - MERIDA TEAM KOLÍN…</v>
      </c>
      <c r="F169" s="223"/>
      <c r="G169" s="223"/>
      <c r="H169" s="223"/>
      <c r="I169" s="223"/>
      <c r="J169" s="223"/>
    </row>
    <row r="170" spans="1:11" s="5" customFormat="1" ht="12" customHeight="1" x14ac:dyDescent="0.2">
      <c r="B170" s="18">
        <v>16</v>
      </c>
      <c r="C170" s="135" t="s">
        <v>346</v>
      </c>
      <c r="D170" s="70" t="str">
        <f t="shared" si="35"/>
        <v>TJ KOVO PRAHA…</v>
      </c>
      <c r="F170" s="223"/>
      <c r="G170" s="223"/>
      <c r="H170" s="223"/>
      <c r="I170" s="223"/>
      <c r="J170" s="223"/>
    </row>
    <row r="171" spans="1:11" s="5" customFormat="1" ht="12" customHeight="1" x14ac:dyDescent="0.2">
      <c r="B171" s="18">
        <v>17</v>
      </c>
      <c r="C171" s="135" t="s">
        <v>405</v>
      </c>
      <c r="D171" s="70" t="str">
        <f t="shared" si="35"/>
        <v>JUNIOREN SCHWALBE TEAM SACHSEN</v>
      </c>
      <c r="F171" s="223"/>
      <c r="G171" s="223"/>
      <c r="H171" s="223"/>
      <c r="I171" s="223"/>
      <c r="J171" s="223"/>
    </row>
    <row r="172" spans="1:11" s="5" customFormat="1" ht="12" customHeight="1" x14ac:dyDescent="0.2">
      <c r="B172" s="18">
        <v>18</v>
      </c>
      <c r="C172" s="135" t="s">
        <v>452</v>
      </c>
      <c r="D172" s="70" t="str">
        <f t="shared" si="35"/>
        <v>SLÁVIA ŠG TRENČÍN…</v>
      </c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255" t="s">
        <v>44</v>
      </c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</row>
  </sheetData>
  <sortState ref="B129:V141">
    <sortCondition ref="B129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8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"/>
  <sheetViews>
    <sheetView zoomScaleNormal="100" workbookViewId="0">
      <selection activeCell="Y12" sqref="Y12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7" width="8.85546875" style="123"/>
    <col min="40" max="40" width="20.7109375" bestFit="1" customWidth="1"/>
  </cols>
  <sheetData>
    <row r="1" spans="1:37" ht="33.75" customHeight="1" x14ac:dyDescent="0.2">
      <c r="A1" s="286" t="str">
        <f>CTRL!B7</f>
        <v>R E G I O N E M   O R L I C K A   L A N Š K R O U N   2 0 1 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178"/>
      <c r="U1" s="197" t="s">
        <v>120</v>
      </c>
    </row>
    <row r="2" spans="1:37" ht="15.75" x14ac:dyDescent="0.2">
      <c r="A2" s="287" t="str">
        <f>CTRL!B8</f>
        <v>28. ročník mezinárodního cyklistického závodu juniorů / 28th edition of international cycling race of juniors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179"/>
    </row>
    <row r="3" spans="1:37" ht="18.75" x14ac:dyDescent="0.3">
      <c r="D3" s="288" t="str">
        <f>CTRL!B22</f>
        <v xml:space="preserve">po 1. etapě / after 1st Stage  </v>
      </c>
      <c r="E3" s="288"/>
      <c r="F3" s="288"/>
      <c r="G3" s="288"/>
      <c r="H3" s="288"/>
      <c r="I3" s="288"/>
      <c r="J3" s="288"/>
      <c r="K3" s="288"/>
      <c r="L3" s="288"/>
      <c r="S3" s="94" t="str">
        <f>"Com.no.: 7/" &amp; CTRL!B27</f>
        <v>Com.no.: 7/31</v>
      </c>
      <c r="T3" s="180"/>
      <c r="W3" s="196" t="s">
        <v>549</v>
      </c>
    </row>
    <row r="4" spans="1:37" x14ac:dyDescent="0.2">
      <c r="A4" s="13" t="str">
        <f>"Datum / Date: "&amp;TEXT(CTRL!B10,"dd.mm.rrrr")</f>
        <v>Datum / Date: 08.08.2014</v>
      </c>
      <c r="S4" s="95" t="str">
        <f>"Místo konání / Place: "&amp;CTRL!B16&amp;""</f>
        <v>Místo konání / Place: Lanškroun (CZE)</v>
      </c>
      <c r="T4" s="181"/>
    </row>
    <row r="5" spans="1:37" ht="21" x14ac:dyDescent="0.2">
      <c r="A5" s="289" t="s">
        <v>130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182"/>
      <c r="AA5" s="196" t="s">
        <v>545</v>
      </c>
    </row>
    <row r="6" spans="1:37" ht="10.5" customHeight="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182"/>
    </row>
    <row r="7" spans="1:37" x14ac:dyDescent="0.2">
      <c r="A7" s="206" t="s">
        <v>0</v>
      </c>
      <c r="B7" s="206" t="s">
        <v>1</v>
      </c>
      <c r="C7" s="206" t="s">
        <v>2</v>
      </c>
      <c r="D7" s="206" t="s">
        <v>3</v>
      </c>
      <c r="E7" s="206" t="s">
        <v>4</v>
      </c>
      <c r="F7" s="290" t="s">
        <v>71</v>
      </c>
      <c r="G7" s="290"/>
      <c r="H7" s="290"/>
      <c r="I7" s="290" t="s">
        <v>18</v>
      </c>
      <c r="J7" s="290"/>
      <c r="K7" s="290"/>
      <c r="L7" s="290" t="s">
        <v>73</v>
      </c>
      <c r="M7" s="290"/>
      <c r="N7" s="290"/>
      <c r="O7" s="290"/>
      <c r="P7" s="290" t="s">
        <v>74</v>
      </c>
      <c r="Q7" s="290"/>
      <c r="R7" s="290"/>
      <c r="S7" s="206" t="s">
        <v>20</v>
      </c>
      <c r="T7" s="183"/>
    </row>
    <row r="8" spans="1:37" x14ac:dyDescent="0.2">
      <c r="A8" s="204" t="s">
        <v>6</v>
      </c>
      <c r="B8" s="204" t="s">
        <v>7</v>
      </c>
      <c r="C8" s="204" t="s">
        <v>8</v>
      </c>
      <c r="D8" s="204" t="s">
        <v>9</v>
      </c>
      <c r="E8" s="204" t="s">
        <v>14</v>
      </c>
      <c r="F8" s="281" t="s">
        <v>72</v>
      </c>
      <c r="G8" s="281"/>
      <c r="H8" s="281"/>
      <c r="I8" s="281" t="s">
        <v>75</v>
      </c>
      <c r="J8" s="281"/>
      <c r="K8" s="281"/>
      <c r="L8" s="281" t="s">
        <v>76</v>
      </c>
      <c r="M8" s="281"/>
      <c r="N8" s="281"/>
      <c r="O8" s="281"/>
      <c r="P8" s="281" t="s">
        <v>77</v>
      </c>
      <c r="Q8" s="281"/>
      <c r="R8" s="281"/>
      <c r="S8" s="204" t="s">
        <v>21</v>
      </c>
      <c r="T8" s="184"/>
      <c r="V8" s="124"/>
    </row>
    <row r="9" spans="1:37" ht="9.75" customHeight="1" thickBot="1" x14ac:dyDescent="0.25"/>
    <row r="10" spans="1:37" ht="44.1" customHeight="1" x14ac:dyDescent="0.2">
      <c r="A10" s="278" t="s">
        <v>70</v>
      </c>
      <c r="B10" s="278"/>
      <c r="C10" s="278"/>
      <c r="D10" s="278"/>
      <c r="E10" s="278"/>
      <c r="F10" s="268" t="s">
        <v>534</v>
      </c>
      <c r="G10" s="268" t="s">
        <v>535</v>
      </c>
      <c r="H10" s="270" t="s">
        <v>33</v>
      </c>
      <c r="I10" s="282"/>
      <c r="J10" s="284"/>
      <c r="K10" s="270" t="s">
        <v>96</v>
      </c>
      <c r="L10" s="272"/>
      <c r="M10" s="268"/>
      <c r="N10" s="268"/>
      <c r="O10" s="270" t="s">
        <v>97</v>
      </c>
      <c r="P10" s="272"/>
      <c r="Q10" s="268"/>
      <c r="R10" s="270" t="s">
        <v>98</v>
      </c>
      <c r="S10" s="208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7" ht="18.95" customHeight="1" x14ac:dyDescent="0.2">
      <c r="A11" s="96"/>
      <c r="B11" s="276"/>
      <c r="C11" s="277"/>
      <c r="D11" s="277"/>
      <c r="E11" s="277"/>
      <c r="F11" s="269"/>
      <c r="G11" s="269"/>
      <c r="H11" s="271"/>
      <c r="I11" s="283"/>
      <c r="J11" s="285"/>
      <c r="K11" s="271"/>
      <c r="L11" s="273"/>
      <c r="M11" s="269"/>
      <c r="N11" s="269"/>
      <c r="O11" s="271"/>
      <c r="P11" s="273"/>
      <c r="Q11" s="269"/>
      <c r="R11" s="271"/>
      <c r="S11" s="97"/>
      <c r="T11" s="186"/>
      <c r="U11" s="123"/>
      <c r="AA11" s="126"/>
    </row>
    <row r="12" spans="1:37" ht="14.1" customHeight="1" x14ac:dyDescent="0.2">
      <c r="A12" s="98">
        <v>1</v>
      </c>
      <c r="B12" s="99">
        <v>116</v>
      </c>
      <c r="C12" s="99" t="str">
        <f t="shared" ref="C12:C30" si="0">VLOOKUP($B12,STARTOVKA,2,0)</f>
        <v>GER19960909</v>
      </c>
      <c r="D12" s="100" t="str">
        <f t="shared" ref="D12:D30" si="1">VLOOKUP($B12,STARTOVKA,3,0)</f>
        <v>KÄMNA Lennard</v>
      </c>
      <c r="E12" s="101" t="str">
        <f t="shared" ref="E12:E30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>
        <f t="shared" ref="S12:S30" si="3">SUM(F12:R12)</f>
        <v>25</v>
      </c>
      <c r="T12" s="187"/>
      <c r="U12" s="191" t="e">
        <f ca="1">VLOOKUP(B12,INDIRECT($U$1),12,0)</f>
        <v>#REF!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0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7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 t="e">
        <f t="shared" ref="U13:U47" ca="1" si="6">VLOOKUP(B13,INDIRECT($U$1),12,0)</f>
        <v>#REF!</v>
      </c>
      <c r="V13" s="127" t="e">
        <f t="shared" si="4"/>
        <v>#N/A</v>
      </c>
      <c r="W13" s="191">
        <f t="shared" ca="1" si="5"/>
        <v>0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7" s="20" customFormat="1" ht="14.1" customHeight="1" x14ac:dyDescent="0.2">
      <c r="A14" s="98">
        <v>3</v>
      </c>
      <c r="B14" s="99">
        <v>143</v>
      </c>
      <c r="C14" s="99" t="str">
        <f t="shared" si="0"/>
        <v>CZE19960606</v>
      </c>
      <c r="D14" s="100" t="str">
        <f t="shared" si="1"/>
        <v xml:space="preserve">KOVÁŘ Jan </v>
      </c>
      <c r="E14" s="101" t="str">
        <f t="shared" si="2"/>
        <v xml:space="preserve">MAPEI CYKLO KAŇKOVSKÝ </v>
      </c>
      <c r="F14" s="102"/>
      <c r="G14" s="102"/>
      <c r="H14" s="102">
        <v>16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 t="e">
        <f t="shared" ca="1" si="6"/>
        <v>#REF!</v>
      </c>
      <c r="V14" s="127" t="e">
        <f t="shared" si="4"/>
        <v>#N/A</v>
      </c>
      <c r="W14" s="191">
        <f t="shared" ca="1" si="5"/>
        <v>0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  <c r="AK14" s="123"/>
    </row>
    <row r="15" spans="1:37" s="20" customFormat="1" ht="14.1" customHeight="1" x14ac:dyDescent="0.2">
      <c r="A15" s="98">
        <v>4</v>
      </c>
      <c r="B15" s="99">
        <v>93</v>
      </c>
      <c r="C15" s="99" t="str">
        <f t="shared" si="0"/>
        <v>CZE19960424</v>
      </c>
      <c r="D15" s="100" t="str">
        <f t="shared" si="1"/>
        <v xml:space="preserve">GRUBER Pavel </v>
      </c>
      <c r="E15" s="101" t="str">
        <f t="shared" si="2"/>
        <v xml:space="preserve">TJ FAVORIT BRNO </v>
      </c>
      <c r="F15" s="102"/>
      <c r="G15" s="102"/>
      <c r="H15" s="102">
        <v>14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14</v>
      </c>
      <c r="T15" s="187"/>
      <c r="U15" s="191" t="e">
        <f t="shared" ca="1" si="6"/>
        <v>#REF!</v>
      </c>
      <c r="V15" s="127">
        <f t="shared" si="4"/>
        <v>20</v>
      </c>
      <c r="W15" s="191">
        <f t="shared" ca="1" si="5"/>
        <v>0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  <c r="AK15" s="123"/>
    </row>
    <row r="16" spans="1:37" s="20" customFormat="1" ht="14.1" customHeight="1" x14ac:dyDescent="0.2">
      <c r="A16" s="98">
        <v>5</v>
      </c>
      <c r="B16" s="99">
        <v>113</v>
      </c>
      <c r="C16" s="99" t="str">
        <f t="shared" si="0"/>
        <v>GER19961002</v>
      </c>
      <c r="D16" s="100" t="str">
        <f t="shared" si="1"/>
        <v>ROHDE Louis</v>
      </c>
      <c r="E16" s="101" t="str">
        <f t="shared" si="2"/>
        <v>TEAM BRANDENBURG - RSC COTTBUS</v>
      </c>
      <c r="F16" s="102"/>
      <c r="G16" s="102"/>
      <c r="H16" s="102">
        <v>12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3">
        <f t="shared" si="3"/>
        <v>12</v>
      </c>
      <c r="T16" s="187"/>
      <c r="U16" s="191" t="e">
        <f t="shared" ca="1" si="6"/>
        <v>#REF!</v>
      </c>
      <c r="V16" s="127" t="e">
        <f t="shared" si="4"/>
        <v>#N/A</v>
      </c>
      <c r="W16" s="191">
        <f t="shared" ca="1" si="5"/>
        <v>0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  <c r="AK16" s="123"/>
    </row>
    <row r="17" spans="1:37" s="20" customFormat="1" ht="14.1" customHeight="1" x14ac:dyDescent="0.2">
      <c r="A17" s="98">
        <v>6</v>
      </c>
      <c r="B17" s="99">
        <v>151</v>
      </c>
      <c r="C17" s="99" t="str">
        <f t="shared" si="0"/>
        <v>CZE19960501</v>
      </c>
      <c r="D17" s="100" t="str">
        <f t="shared" si="1"/>
        <v>TOMAN Vojtěch</v>
      </c>
      <c r="E17" s="101" t="str">
        <f t="shared" si="2"/>
        <v>STEVENS ZNOJMO</v>
      </c>
      <c r="F17" s="102">
        <v>1</v>
      </c>
      <c r="G17" s="102"/>
      <c r="H17" s="102">
        <v>10</v>
      </c>
      <c r="I17" s="102"/>
      <c r="J17" s="102"/>
      <c r="K17" s="104"/>
      <c r="L17" s="102"/>
      <c r="M17" s="102"/>
      <c r="N17" s="102"/>
      <c r="O17" s="102"/>
      <c r="P17" s="102"/>
      <c r="Q17" s="102"/>
      <c r="R17" s="102"/>
      <c r="S17" s="103">
        <f t="shared" si="3"/>
        <v>11</v>
      </c>
      <c r="T17" s="187"/>
      <c r="U17" s="191" t="e">
        <f t="shared" ca="1" si="6"/>
        <v>#REF!</v>
      </c>
      <c r="V17" s="127" t="e">
        <f t="shared" si="4"/>
        <v>#N/A</v>
      </c>
      <c r="W17" s="191">
        <f t="shared" ca="1" si="5"/>
        <v>0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  <c r="AK17" s="123"/>
    </row>
    <row r="18" spans="1:37" s="20" customFormat="1" ht="14.1" customHeight="1" x14ac:dyDescent="0.2">
      <c r="A18" s="98">
        <v>7</v>
      </c>
      <c r="B18" s="99">
        <v>111</v>
      </c>
      <c r="C18" s="99" t="str">
        <f t="shared" si="0"/>
        <v>GER19960410</v>
      </c>
      <c r="D18" s="100" t="str">
        <f t="shared" si="1"/>
        <v>BECKER Alexander</v>
      </c>
      <c r="E18" s="101" t="str">
        <f t="shared" si="2"/>
        <v>TEAM BRANDENBURG - RSC COTTBUS</v>
      </c>
      <c r="F18" s="102"/>
      <c r="G18" s="102"/>
      <c r="H18" s="102">
        <v>9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9</v>
      </c>
      <c r="T18" s="187"/>
      <c r="U18" s="191" t="e">
        <f t="shared" ca="1" si="6"/>
        <v>#REF!</v>
      </c>
      <c r="V18" s="127" t="e">
        <f t="shared" si="4"/>
        <v>#N/A</v>
      </c>
      <c r="W18" s="191">
        <f t="shared" ca="1" si="5"/>
        <v>0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  <c r="AK18" s="123"/>
    </row>
    <row r="19" spans="1:37" s="20" customFormat="1" ht="14.1" customHeight="1" x14ac:dyDescent="0.2">
      <c r="A19" s="98">
        <v>8</v>
      </c>
      <c r="B19" s="99">
        <v>182</v>
      </c>
      <c r="C19" s="99" t="str">
        <f t="shared" si="0"/>
        <v>AUT19960709</v>
      </c>
      <c r="D19" s="100" t="str">
        <f t="shared" si="1"/>
        <v>KOPFAUF Markus</v>
      </c>
      <c r="E19" s="101" t="str">
        <f t="shared" si="2"/>
        <v xml:space="preserve">LRV STEIERMARK </v>
      </c>
      <c r="F19" s="102"/>
      <c r="G19" s="102"/>
      <c r="H19" s="102">
        <v>8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3">
        <f t="shared" si="3"/>
        <v>8</v>
      </c>
      <c r="T19" s="187"/>
      <c r="U19" s="191" t="e">
        <f t="shared" ca="1" si="6"/>
        <v>#REF!</v>
      </c>
      <c r="V19" s="127" t="e">
        <f t="shared" si="4"/>
        <v>#N/A</v>
      </c>
      <c r="W19" s="191">
        <f t="shared" ca="1" si="5"/>
        <v>0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  <c r="AK19" s="123"/>
    </row>
    <row r="20" spans="1:37" s="20" customFormat="1" ht="14.1" customHeight="1" x14ac:dyDescent="0.2">
      <c r="A20" s="98">
        <v>9</v>
      </c>
      <c r="B20" s="99">
        <v>150</v>
      </c>
      <c r="C20" s="99" t="str">
        <f t="shared" si="0"/>
        <v>CZE19970926</v>
      </c>
      <c r="D20" s="100" t="str">
        <f t="shared" si="1"/>
        <v xml:space="preserve">BRÁZDA Michal </v>
      </c>
      <c r="E20" s="101" t="str">
        <f t="shared" si="2"/>
        <v xml:space="preserve">MAPEI CYKLO KAŇKOVSKÝ </v>
      </c>
      <c r="F20" s="102"/>
      <c r="G20" s="102">
        <v>2</v>
      </c>
      <c r="H20" s="102">
        <v>6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8</v>
      </c>
      <c r="T20" s="187"/>
      <c r="U20" s="191" t="e">
        <f t="shared" ca="1" si="6"/>
        <v>#REF!</v>
      </c>
      <c r="V20" s="127" t="e">
        <f t="shared" si="4"/>
        <v>#N/A</v>
      </c>
      <c r="W20" s="191">
        <f t="shared" ca="1" si="5"/>
        <v>0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  <c r="AK20" s="123"/>
    </row>
    <row r="21" spans="1:37" s="20" customFormat="1" ht="14.1" customHeight="1" x14ac:dyDescent="0.2">
      <c r="A21" s="98">
        <v>10</v>
      </c>
      <c r="B21" s="99">
        <v>117</v>
      </c>
      <c r="C21" s="99" t="str">
        <f t="shared" si="0"/>
        <v>GER19971022</v>
      </c>
      <c r="D21" s="100" t="str">
        <f t="shared" si="1"/>
        <v>KANTER Max</v>
      </c>
      <c r="E21" s="101" t="str">
        <f t="shared" si="2"/>
        <v>TEAM BRANDENBURG - RSC COTTBUS</v>
      </c>
      <c r="F21" s="102"/>
      <c r="G21" s="102"/>
      <c r="H21" s="102">
        <v>7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7</v>
      </c>
      <c r="T21" s="187"/>
      <c r="U21" s="191" t="e">
        <f t="shared" ca="1" si="6"/>
        <v>#REF!</v>
      </c>
      <c r="V21" s="127" t="e">
        <f t="shared" si="4"/>
        <v>#N/A</v>
      </c>
      <c r="W21" s="191">
        <f t="shared" ca="1" si="5"/>
        <v>0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  <c r="AK21" s="123"/>
    </row>
    <row r="22" spans="1:37" s="20" customFormat="1" ht="14.1" customHeight="1" x14ac:dyDescent="0.2">
      <c r="A22" s="98">
        <v>11</v>
      </c>
      <c r="B22" s="99">
        <v>83</v>
      </c>
      <c r="C22" s="99" t="str">
        <f t="shared" si="0"/>
        <v>CZE19960724</v>
      </c>
      <c r="D22" s="100" t="str">
        <f t="shared" si="1"/>
        <v xml:space="preserve">BECHYNĚ Matěj </v>
      </c>
      <c r="E22" s="101" t="str">
        <f t="shared" si="2"/>
        <v>VZW TIELTSE RENNERSCLUB - JIELKER GELDHOF</v>
      </c>
      <c r="F22" s="102"/>
      <c r="G22" s="102"/>
      <c r="H22" s="102">
        <v>5</v>
      </c>
      <c r="I22" s="102"/>
      <c r="J22" s="102"/>
      <c r="K22" s="104"/>
      <c r="L22" s="102"/>
      <c r="M22" s="102"/>
      <c r="N22" s="102"/>
      <c r="O22" s="102"/>
      <c r="P22" s="102"/>
      <c r="Q22" s="102"/>
      <c r="R22" s="102"/>
      <c r="S22" s="103">
        <f t="shared" si="3"/>
        <v>5</v>
      </c>
      <c r="T22" s="187"/>
      <c r="U22" s="191" t="e">
        <f t="shared" ca="1" si="6"/>
        <v>#REF!</v>
      </c>
      <c r="V22" s="127" t="e">
        <f t="shared" si="4"/>
        <v>#N/A</v>
      </c>
      <c r="W22" s="191">
        <f t="shared" ca="1" si="5"/>
        <v>0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  <c r="AK22" s="123"/>
    </row>
    <row r="23" spans="1:37" s="20" customFormat="1" ht="14.1" customHeight="1" x14ac:dyDescent="0.2">
      <c r="A23" s="98">
        <v>12</v>
      </c>
      <c r="B23" s="99">
        <v>165</v>
      </c>
      <c r="C23" s="99" t="str">
        <f t="shared" si="0"/>
        <v>RUS19960517</v>
      </c>
      <c r="D23" s="100" t="str">
        <f t="shared" si="1"/>
        <v xml:space="preserve">MARTYSHEV Aleksandr </v>
      </c>
      <c r="E23" s="101" t="str">
        <f t="shared" si="2"/>
        <v>RUSSIAN CYCLING FEDERATION</v>
      </c>
      <c r="F23" s="102"/>
      <c r="G23" s="102"/>
      <c r="H23" s="102">
        <v>4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3">
        <f t="shared" si="3"/>
        <v>4</v>
      </c>
      <c r="T23" s="187"/>
      <c r="U23" s="191" t="e">
        <f t="shared" ca="1" si="6"/>
        <v>#REF!</v>
      </c>
      <c r="V23" s="127" t="e">
        <f t="shared" si="4"/>
        <v>#N/A</v>
      </c>
      <c r="W23" s="191">
        <f t="shared" ca="1" si="5"/>
        <v>0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  <c r="AK23" s="123"/>
    </row>
    <row r="24" spans="1:37" s="20" customFormat="1" ht="14.1" customHeight="1" x14ac:dyDescent="0.2">
      <c r="A24" s="98">
        <v>13</v>
      </c>
      <c r="B24" s="99">
        <v>137</v>
      </c>
      <c r="C24" s="99" t="str">
        <f t="shared" si="0"/>
        <v>AUT19960713</v>
      </c>
      <c r="D24" s="100" t="str">
        <f t="shared" si="1"/>
        <v>PÖPPL Tobias</v>
      </c>
      <c r="E24" s="101" t="str">
        <f t="shared" si="2"/>
        <v>RC WALDING</v>
      </c>
      <c r="F24" s="102"/>
      <c r="G24" s="102"/>
      <c r="H24" s="102">
        <v>3</v>
      </c>
      <c r="I24" s="102"/>
      <c r="J24" s="102"/>
      <c r="K24" s="104"/>
      <c r="L24" s="102"/>
      <c r="M24" s="102"/>
      <c r="N24" s="102"/>
      <c r="O24" s="102"/>
      <c r="P24" s="102"/>
      <c r="Q24" s="102"/>
      <c r="R24" s="102"/>
      <c r="S24" s="103">
        <f t="shared" si="3"/>
        <v>3</v>
      </c>
      <c r="T24" s="187"/>
      <c r="U24" s="191" t="e">
        <f t="shared" ca="1" si="6"/>
        <v>#REF!</v>
      </c>
      <c r="V24" s="127" t="e">
        <f t="shared" si="4"/>
        <v>#N/A</v>
      </c>
      <c r="W24" s="191">
        <f t="shared" ca="1" si="5"/>
        <v>0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  <c r="AK24" s="123"/>
    </row>
    <row r="25" spans="1:37" s="20" customFormat="1" ht="14.1" customHeight="1" x14ac:dyDescent="0.2">
      <c r="A25" s="98">
        <v>14</v>
      </c>
      <c r="B25" s="99">
        <v>175</v>
      </c>
      <c r="C25" s="99" t="str">
        <f t="shared" si="0"/>
        <v>SVK19960415</v>
      </c>
      <c r="D25" s="100" t="str">
        <f t="shared" si="1"/>
        <v>ZVERKO David</v>
      </c>
      <c r="E25" s="101" t="str">
        <f t="shared" si="2"/>
        <v xml:space="preserve">SLOVAK CYCLING FEDERATION </v>
      </c>
      <c r="F25" s="102">
        <v>3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3">
        <f t="shared" si="3"/>
        <v>3</v>
      </c>
      <c r="T25" s="187"/>
      <c r="U25" s="191" t="e">
        <f t="shared" ca="1" si="6"/>
        <v>#REF!</v>
      </c>
      <c r="V25" s="127" t="e">
        <f t="shared" si="4"/>
        <v>#N/A</v>
      </c>
      <c r="W25" s="191">
        <f t="shared" ca="1" si="5"/>
        <v>0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  <c r="AK25" s="123"/>
    </row>
    <row r="26" spans="1:37" s="20" customFormat="1" ht="14.1" customHeight="1" x14ac:dyDescent="0.2">
      <c r="A26" s="98">
        <v>15</v>
      </c>
      <c r="B26" s="99">
        <v>132</v>
      </c>
      <c r="C26" s="99" t="str">
        <f t="shared" si="0"/>
        <v>AUT19961021</v>
      </c>
      <c r="D26" s="100" t="str">
        <f t="shared" si="1"/>
        <v>KNAPP Daniel</v>
      </c>
      <c r="E26" s="101" t="str">
        <f t="shared" si="2"/>
        <v>UNION RAIFFEISEN RADTEAM TIROL</v>
      </c>
      <c r="F26" s="102"/>
      <c r="G26" s="102">
        <v>3</v>
      </c>
      <c r="H26" s="102"/>
      <c r="I26" s="102"/>
      <c r="J26" s="102"/>
      <c r="K26" s="104"/>
      <c r="L26" s="102"/>
      <c r="M26" s="102"/>
      <c r="N26" s="102"/>
      <c r="O26" s="102"/>
      <c r="P26" s="102"/>
      <c r="Q26" s="102"/>
      <c r="R26" s="102"/>
      <c r="S26" s="103">
        <f t="shared" si="3"/>
        <v>3</v>
      </c>
      <c r="T26" s="187"/>
      <c r="U26" s="191" t="e">
        <f ca="1">VLOOKUP(B26,INDIRECT($U$1),12,0)</f>
        <v>#REF!</v>
      </c>
      <c r="V26" s="127" t="e">
        <f t="shared" si="4"/>
        <v>#N/A</v>
      </c>
      <c r="W26" s="191">
        <f t="shared" ca="1" si="5"/>
        <v>0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  <c r="AK26" s="123"/>
    </row>
    <row r="27" spans="1:37" s="20" customFormat="1" ht="14.1" customHeight="1" x14ac:dyDescent="0.2">
      <c r="A27" s="98">
        <v>16</v>
      </c>
      <c r="B27" s="99">
        <v>7</v>
      </c>
      <c r="C27" s="99" t="str">
        <f t="shared" si="0"/>
        <v>GER19970419</v>
      </c>
      <c r="D27" s="100" t="str">
        <f t="shared" si="1"/>
        <v>BURCHARDT Karl</v>
      </c>
      <c r="E27" s="101" t="str">
        <f t="shared" si="2"/>
        <v>RSC TURBINE ERFURT</v>
      </c>
      <c r="F27" s="102"/>
      <c r="G27" s="102"/>
      <c r="H27" s="102">
        <v>2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>
        <f t="shared" si="3"/>
        <v>2</v>
      </c>
      <c r="T27" s="187"/>
      <c r="U27" s="191" t="e">
        <f ca="1">VLOOKUP(B27,INDIRECT($U$1),12,0)</f>
        <v>#REF!</v>
      </c>
      <c r="V27" s="127">
        <f t="shared" si="4"/>
        <v>14</v>
      </c>
      <c r="W27" s="191">
        <f t="shared" ca="1" si="5"/>
        <v>0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  <c r="AK27" s="123"/>
    </row>
    <row r="28" spans="1:37" s="20" customFormat="1" ht="13.5" customHeight="1" x14ac:dyDescent="0.2">
      <c r="A28" s="98">
        <v>17</v>
      </c>
      <c r="B28" s="99">
        <v>115</v>
      </c>
      <c r="C28" s="99" t="str">
        <f t="shared" si="0"/>
        <v>GER19961029</v>
      </c>
      <c r="D28" s="100" t="str">
        <f t="shared" si="1"/>
        <v>KOCH Chrisitan</v>
      </c>
      <c r="E28" s="101" t="str">
        <f t="shared" si="2"/>
        <v>TEAM BRANDENBURG - RSC COTTBUS</v>
      </c>
      <c r="F28" s="102">
        <v>2</v>
      </c>
      <c r="G28" s="102"/>
      <c r="H28" s="102"/>
      <c r="I28" s="102"/>
      <c r="J28" s="102"/>
      <c r="K28" s="104"/>
      <c r="L28" s="102"/>
      <c r="M28" s="102"/>
      <c r="N28" s="102"/>
      <c r="O28" s="102"/>
      <c r="P28" s="102"/>
      <c r="Q28" s="102"/>
      <c r="R28" s="102"/>
      <c r="S28" s="103">
        <f t="shared" si="3"/>
        <v>2</v>
      </c>
      <c r="T28" s="187"/>
      <c r="U28" s="191" t="e">
        <f ca="1">VLOOKUP(B28,INDIRECT($U$1),12,0)</f>
        <v>#REF!</v>
      </c>
      <c r="V28" s="127" t="e">
        <f t="shared" si="4"/>
        <v>#N/A</v>
      </c>
      <c r="W28" s="191">
        <f t="shared" ca="1" si="5"/>
        <v>0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  <c r="AK28" s="123"/>
    </row>
    <row r="29" spans="1:37" s="20" customFormat="1" ht="13.5" customHeight="1" x14ac:dyDescent="0.2">
      <c r="A29" s="98">
        <v>18</v>
      </c>
      <c r="B29" s="99">
        <v>85</v>
      </c>
      <c r="C29" s="99" t="str">
        <f t="shared" si="0"/>
        <v>CZE19970804</v>
      </c>
      <c r="D29" s="100" t="str">
        <f t="shared" si="1"/>
        <v xml:space="preserve">SPUDIL Martin </v>
      </c>
      <c r="E29" s="101" t="str">
        <f t="shared" si="2"/>
        <v xml:space="preserve">SP KOLO LOAP SPECIALIZED </v>
      </c>
      <c r="F29" s="102"/>
      <c r="G29" s="102"/>
      <c r="H29" s="102">
        <v>1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1</v>
      </c>
      <c r="T29" s="187"/>
      <c r="U29" s="191" t="e">
        <f t="shared" ca="1" si="6"/>
        <v>#REF!</v>
      </c>
      <c r="V29" s="127" t="e">
        <f t="shared" si="4"/>
        <v>#N/A</v>
      </c>
      <c r="W29" s="191">
        <f t="shared" ca="1" si="5"/>
        <v>0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  <c r="AK29" s="123"/>
    </row>
    <row r="30" spans="1:37" s="20" customFormat="1" ht="13.5" customHeight="1" x14ac:dyDescent="0.2">
      <c r="A30" s="98">
        <v>19</v>
      </c>
      <c r="B30" s="99">
        <v>12</v>
      </c>
      <c r="C30" s="99" t="str">
        <f t="shared" si="0"/>
        <v>GER19960405</v>
      </c>
      <c r="D30" s="100" t="str">
        <f t="shared" si="1"/>
        <v>WITTE Reinhard</v>
      </c>
      <c r="E30" s="101" t="str">
        <f t="shared" si="2"/>
        <v>JUNIOREN SCHWALBE TEAM SACHSEN</v>
      </c>
      <c r="F30" s="102"/>
      <c r="G30" s="102">
        <v>1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1</v>
      </c>
      <c r="T30" s="187"/>
      <c r="U30" s="191" t="e">
        <f t="shared" ca="1" si="6"/>
        <v>#REF!</v>
      </c>
      <c r="V30" s="127" t="e">
        <f t="shared" si="4"/>
        <v>#N/A</v>
      </c>
      <c r="W30" s="191">
        <f t="shared" ca="1" si="5"/>
        <v>0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  <c r="AK30" s="123"/>
    </row>
    <row r="31" spans="1:37" s="20" customFormat="1" ht="13.5" hidden="1" customHeight="1" outlineLevel="1" x14ac:dyDescent="0.2">
      <c r="A31" s="98">
        <v>20</v>
      </c>
      <c r="B31" s="99"/>
      <c r="C31" s="99" t="e">
        <f t="shared" ref="C31:C47" si="8">VLOOKUP($B31,STARTOVKA,2,0)</f>
        <v>#N/A</v>
      </c>
      <c r="D31" s="100" t="e">
        <f t="shared" ref="D31:D47" si="9">VLOOKUP($B31,STARTOVKA,3,0)</f>
        <v>#N/A</v>
      </c>
      <c r="E31" s="101" t="e">
        <f t="shared" ref="E31:E47" si="10">VLOOKUP($B31,STARTOVKA,4,0)</f>
        <v>#N/A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ref="S31:S47" si="11">SUM(F31:R31)</f>
        <v>0</v>
      </c>
      <c r="T31" s="187"/>
      <c r="U31" s="191" t="e">
        <f t="shared" ca="1" si="6"/>
        <v>#REF!</v>
      </c>
      <c r="V31" s="127" t="e">
        <f t="shared" si="4"/>
        <v>#N/A</v>
      </c>
      <c r="W31" s="191">
        <f t="shared" ca="1" si="5"/>
        <v>0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  <c r="AK31" s="123"/>
    </row>
    <row r="32" spans="1:37" s="20" customFormat="1" ht="13.5" hidden="1" customHeight="1" outlineLevel="1" x14ac:dyDescent="0.2">
      <c r="A32" s="98">
        <v>21</v>
      </c>
      <c r="B32" s="99"/>
      <c r="C32" s="99" t="e">
        <f t="shared" si="8"/>
        <v>#N/A</v>
      </c>
      <c r="D32" s="100" t="e">
        <f t="shared" si="9"/>
        <v>#N/A</v>
      </c>
      <c r="E32" s="101" t="e">
        <f t="shared" si="10"/>
        <v>#N/A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3">
        <f t="shared" si="11"/>
        <v>0</v>
      </c>
      <c r="T32" s="187"/>
      <c r="U32" s="191" t="e">
        <f t="shared" ca="1" si="6"/>
        <v>#REF!</v>
      </c>
      <c r="V32" s="127" t="e">
        <f t="shared" si="4"/>
        <v>#N/A</v>
      </c>
      <c r="W32" s="191">
        <f t="shared" ca="1" si="5"/>
        <v>0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  <c r="AK32" s="123"/>
    </row>
    <row r="33" spans="1:37" s="20" customFormat="1" ht="13.5" hidden="1" customHeight="1" outlineLevel="1" x14ac:dyDescent="0.2">
      <c r="A33" s="98">
        <v>22</v>
      </c>
      <c r="B33" s="99"/>
      <c r="C33" s="99" t="e">
        <f t="shared" si="8"/>
        <v>#N/A</v>
      </c>
      <c r="D33" s="100" t="e">
        <f t="shared" si="9"/>
        <v>#N/A</v>
      </c>
      <c r="E33" s="101" t="e">
        <f t="shared" si="10"/>
        <v>#N/A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11"/>
        <v>0</v>
      </c>
      <c r="T33" s="187"/>
      <c r="U33" s="191" t="e">
        <f t="shared" ca="1" si="6"/>
        <v>#REF!</v>
      </c>
      <c r="V33" s="127" t="e">
        <f t="shared" si="4"/>
        <v>#N/A</v>
      </c>
      <c r="W33" s="191">
        <f t="shared" ca="1" si="5"/>
        <v>0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  <c r="AK33" s="123"/>
    </row>
    <row r="34" spans="1:37" s="20" customFormat="1" ht="13.5" hidden="1" customHeight="1" outlineLevel="1" x14ac:dyDescent="0.2">
      <c r="A34" s="98">
        <v>23</v>
      </c>
      <c r="B34" s="99"/>
      <c r="C34" s="99" t="e">
        <f t="shared" si="8"/>
        <v>#N/A</v>
      </c>
      <c r="D34" s="100" t="e">
        <f t="shared" si="9"/>
        <v>#N/A</v>
      </c>
      <c r="E34" s="101" t="e">
        <f t="shared" si="10"/>
        <v>#N/A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11"/>
        <v>0</v>
      </c>
      <c r="T34" s="187"/>
      <c r="U34" s="191" t="e">
        <f t="shared" ca="1" si="6"/>
        <v>#REF!</v>
      </c>
      <c r="V34" s="127" t="e">
        <f t="shared" si="4"/>
        <v>#N/A</v>
      </c>
      <c r="W34" s="191">
        <f t="shared" ca="1" si="5"/>
        <v>0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  <c r="AK34" s="123"/>
    </row>
    <row r="35" spans="1:37" s="20" customFormat="1" ht="13.5" hidden="1" customHeight="1" outlineLevel="1" x14ac:dyDescent="0.2">
      <c r="A35" s="98">
        <v>24</v>
      </c>
      <c r="B35" s="99"/>
      <c r="C35" s="99" t="e">
        <f t="shared" si="8"/>
        <v>#N/A</v>
      </c>
      <c r="D35" s="100" t="e">
        <f t="shared" si="9"/>
        <v>#N/A</v>
      </c>
      <c r="E35" s="101" t="e">
        <f t="shared" si="10"/>
        <v>#N/A</v>
      </c>
      <c r="F35" s="102"/>
      <c r="G35" s="102"/>
      <c r="H35" s="102"/>
      <c r="I35" s="102"/>
      <c r="J35" s="102"/>
      <c r="K35" s="104"/>
      <c r="L35" s="102"/>
      <c r="M35" s="102"/>
      <c r="N35" s="102"/>
      <c r="O35" s="102"/>
      <c r="P35" s="102"/>
      <c r="Q35" s="102"/>
      <c r="R35" s="102"/>
      <c r="S35" s="103">
        <f t="shared" si="11"/>
        <v>0</v>
      </c>
      <c r="T35" s="187"/>
      <c r="U35" s="191" t="e">
        <f ca="1">VLOOKUP(B35,INDIRECT($U$1),12,0)</f>
        <v>#REF!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  <c r="AK35" s="123"/>
    </row>
    <row r="36" spans="1:37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#REF!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  <c r="AK36" s="123"/>
    </row>
    <row r="37" spans="1:37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#REF!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  <c r="AK37" s="123"/>
    </row>
    <row r="38" spans="1:37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#REF!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  <c r="AK38" s="123"/>
    </row>
    <row r="39" spans="1:37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#REF!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  <c r="AK39" s="123"/>
    </row>
    <row r="40" spans="1:37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#REF!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  <c r="AK40" s="123"/>
    </row>
    <row r="41" spans="1:37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4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#REF!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  <c r="AK41" s="123"/>
    </row>
    <row r="42" spans="1:37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4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#REF!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  <c r="AK42" s="123"/>
    </row>
    <row r="43" spans="1:37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#REF!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  <c r="AK43" s="123"/>
    </row>
    <row r="44" spans="1:37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#REF!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  <c r="AK44" s="123"/>
    </row>
    <row r="45" spans="1:37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4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#REF!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  <c r="AK45" s="123"/>
    </row>
    <row r="46" spans="1:37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#REF!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  <c r="AK46" s="123"/>
    </row>
    <row r="47" spans="1:37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4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#REF!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  <c r="AK47" s="123"/>
    </row>
    <row r="48" spans="1:37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  <c r="AK48" s="123"/>
    </row>
    <row r="49" spans="1:39" ht="9.75" customHeight="1" thickBot="1" x14ac:dyDescent="0.25"/>
    <row r="50" spans="1:39" ht="44.1" customHeight="1" x14ac:dyDescent="0.2">
      <c r="A50" s="278" t="s">
        <v>136</v>
      </c>
      <c r="B50" s="278"/>
      <c r="C50" s="278"/>
      <c r="D50" s="278"/>
      <c r="E50" s="278"/>
      <c r="F50" s="268" t="s">
        <v>546</v>
      </c>
      <c r="G50" s="268" t="s">
        <v>547</v>
      </c>
      <c r="H50" s="279" t="s">
        <v>548</v>
      </c>
      <c r="I50" s="272"/>
      <c r="J50" s="268"/>
      <c r="K50" s="268"/>
      <c r="L50" s="272"/>
      <c r="M50" s="268"/>
      <c r="N50" s="268"/>
      <c r="O50" s="270"/>
      <c r="P50" s="272"/>
      <c r="Q50" s="268"/>
      <c r="R50" s="268"/>
      <c r="S50" s="208"/>
      <c r="T50" s="185"/>
      <c r="U50" s="125" t="s">
        <v>118</v>
      </c>
      <c r="V50" s="125"/>
      <c r="W50" s="125" t="s">
        <v>110</v>
      </c>
    </row>
    <row r="51" spans="1:39" ht="18.95" customHeight="1" x14ac:dyDescent="0.2">
      <c r="A51" s="106"/>
      <c r="B51" s="274"/>
      <c r="C51" s="275"/>
      <c r="D51" s="275"/>
      <c r="E51" s="275"/>
      <c r="F51" s="269"/>
      <c r="G51" s="269"/>
      <c r="H51" s="280"/>
      <c r="I51" s="273"/>
      <c r="J51" s="269"/>
      <c r="K51" s="269"/>
      <c r="L51" s="273"/>
      <c r="M51" s="269"/>
      <c r="N51" s="269"/>
      <c r="O51" s="271"/>
      <c r="P51" s="273"/>
      <c r="Q51" s="269"/>
      <c r="R51" s="269"/>
      <c r="S51" s="107"/>
      <c r="T51" s="186"/>
    </row>
    <row r="52" spans="1:39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 t="e">
        <f ca="1">VLOOKUP(B52,INDIRECT($U$1),12,0)</f>
        <v>#REF!</v>
      </c>
      <c r="V52" s="127"/>
      <c r="W52" s="191">
        <f ca="1">IFERROR(VLOOKUP(B52,INDIRECT($W$3),1,0),0)</f>
        <v>0</v>
      </c>
      <c r="AE52" s="89" t="s">
        <v>89</v>
      </c>
      <c r="AF52" s="89"/>
      <c r="AM52" s="123"/>
    </row>
    <row r="53" spans="1:39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 t="e">
        <f t="shared" ref="U53:U70" ca="1" si="16">VLOOKUP(B53,INDIRECT($U$1),12,0)</f>
        <v>#REF!</v>
      </c>
      <c r="V53" s="127"/>
      <c r="W53" s="191">
        <f t="shared" ref="W53:W70" ca="1" si="17">IFERROR(VLOOKUP(B53,INDIRECT($W$3),1,0),0)</f>
        <v>0</v>
      </c>
      <c r="AE53" s="20"/>
      <c r="AF53" s="20" t="s">
        <v>90</v>
      </c>
      <c r="AM53" s="123"/>
    </row>
    <row r="54" spans="1:39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 t="e">
        <f t="shared" ca="1" si="16"/>
        <v>#REF!</v>
      </c>
      <c r="V54" s="127"/>
      <c r="W54" s="191">
        <f t="shared" ca="1" si="17"/>
        <v>0</v>
      </c>
      <c r="AE54" s="20"/>
      <c r="AF54" s="20" t="s">
        <v>88</v>
      </c>
      <c r="AM54" s="123"/>
    </row>
    <row r="55" spans="1:39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 t="e">
        <f t="shared" ca="1" si="16"/>
        <v>#REF!</v>
      </c>
      <c r="V55" s="127"/>
      <c r="W55" s="191">
        <f t="shared" ca="1" si="17"/>
        <v>0</v>
      </c>
      <c r="AM55" s="123"/>
    </row>
    <row r="56" spans="1:39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 t="e">
        <f t="shared" ca="1" si="16"/>
        <v>#REF!</v>
      </c>
      <c r="V56" s="127"/>
      <c r="W56" s="191">
        <f t="shared" ca="1" si="17"/>
        <v>0</v>
      </c>
      <c r="AM56" s="123"/>
    </row>
    <row r="57" spans="1:39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 t="e">
        <f t="shared" ca="1" si="16"/>
        <v>#REF!</v>
      </c>
      <c r="V57" s="127"/>
      <c r="W57" s="191">
        <f t="shared" ca="1" si="17"/>
        <v>0</v>
      </c>
      <c r="AM57" s="123"/>
    </row>
    <row r="58" spans="1:39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 t="e">
        <f t="shared" ca="1" si="16"/>
        <v>#REF!</v>
      </c>
      <c r="V58" s="127"/>
      <c r="W58" s="191">
        <f t="shared" ca="1" si="17"/>
        <v>0</v>
      </c>
      <c r="AM58" s="123"/>
    </row>
    <row r="59" spans="1:39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#REF!</v>
      </c>
      <c r="V59" s="127"/>
      <c r="W59" s="191">
        <f t="shared" ca="1" si="17"/>
        <v>0</v>
      </c>
      <c r="AL59" s="123"/>
      <c r="AM59" s="123"/>
    </row>
    <row r="60" spans="1:39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#REF!</v>
      </c>
      <c r="V60" s="127"/>
      <c r="W60" s="191">
        <f t="shared" ca="1" si="17"/>
        <v>0</v>
      </c>
      <c r="AL60" s="123"/>
    </row>
    <row r="61" spans="1:39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#REF!</v>
      </c>
      <c r="V61" s="127"/>
      <c r="W61" s="191">
        <f t="shared" ca="1" si="17"/>
        <v>0</v>
      </c>
      <c r="AL61" s="123"/>
    </row>
    <row r="62" spans="1:39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#REF!</v>
      </c>
      <c r="V62" s="127"/>
      <c r="W62" s="191">
        <f t="shared" ca="1" si="17"/>
        <v>0</v>
      </c>
      <c r="AL62" s="123"/>
    </row>
    <row r="63" spans="1:39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#REF!</v>
      </c>
      <c r="V63" s="127"/>
      <c r="W63" s="191">
        <f t="shared" ca="1" si="17"/>
        <v>0</v>
      </c>
      <c r="AL63" s="123"/>
    </row>
    <row r="64" spans="1:39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#REF!</v>
      </c>
      <c r="V64" s="127"/>
      <c r="W64" s="191">
        <f t="shared" ca="1" si="17"/>
        <v>0</v>
      </c>
      <c r="AL64" s="123"/>
    </row>
    <row r="65" spans="1:38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#REF!</v>
      </c>
      <c r="V65" s="127"/>
      <c r="W65" s="191">
        <f t="shared" ca="1" si="17"/>
        <v>0</v>
      </c>
      <c r="AL65" s="123"/>
    </row>
    <row r="66" spans="1:38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#REF!</v>
      </c>
      <c r="V66" s="127"/>
      <c r="W66" s="191">
        <f t="shared" ca="1" si="17"/>
        <v>0</v>
      </c>
      <c r="AL66" s="123"/>
    </row>
    <row r="67" spans="1:38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#REF!</v>
      </c>
      <c r="V67" s="127"/>
      <c r="W67" s="191">
        <f t="shared" ca="1" si="17"/>
        <v>0</v>
      </c>
      <c r="AL67" s="123"/>
    </row>
    <row r="68" spans="1:38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#REF!</v>
      </c>
      <c r="V68" s="127"/>
      <c r="W68" s="191">
        <f t="shared" ca="1" si="17"/>
        <v>0</v>
      </c>
      <c r="AL68" s="123"/>
    </row>
    <row r="69" spans="1:38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#REF!</v>
      </c>
      <c r="V69" s="127"/>
      <c r="W69" s="191">
        <f t="shared" ca="1" si="17"/>
        <v>0</v>
      </c>
    </row>
    <row r="70" spans="1:38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#REF!</v>
      </c>
      <c r="V70" s="127"/>
      <c r="W70" s="191">
        <f t="shared" ca="1" si="17"/>
        <v>0</v>
      </c>
    </row>
    <row r="71" spans="1:38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8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  <c r="AK72" s="130"/>
    </row>
    <row r="73" spans="1:38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  <c r="AK73" s="130"/>
    </row>
    <row r="74" spans="1:38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  <c r="AK74" s="130"/>
    </row>
    <row r="75" spans="1:38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  <c r="AK75" s="130"/>
    </row>
    <row r="76" spans="1:38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  <c r="AK76" s="130"/>
    </row>
    <row r="77" spans="1:38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  <c r="AK77" s="130"/>
    </row>
    <row r="78" spans="1:38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  <c r="AK78" s="130"/>
    </row>
    <row r="79" spans="1:38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  <c r="AK79" s="130"/>
    </row>
    <row r="80" spans="1:38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  <c r="AK80" s="130"/>
    </row>
    <row r="81" spans="1:37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  <c r="AK81" s="130"/>
    </row>
    <row r="82" spans="1:37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  <c r="AK82" s="130"/>
    </row>
    <row r="83" spans="1:37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  <c r="AK83" s="130"/>
    </row>
    <row r="84" spans="1:37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  <c r="AK84" s="130"/>
    </row>
    <row r="85" spans="1:37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  <c r="AK85" s="130"/>
    </row>
    <row r="86" spans="1:37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  <c r="AK86" s="130"/>
    </row>
    <row r="87" spans="1:37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  <c r="AK87" s="130"/>
    </row>
    <row r="88" spans="1:37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  <c r="AK88" s="130"/>
    </row>
    <row r="89" spans="1:37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  <c r="AK89" s="130"/>
    </row>
    <row r="90" spans="1:37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  <c r="AK90" s="130"/>
    </row>
    <row r="91" spans="1:37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  <c r="AK91" s="130"/>
    </row>
    <row r="92" spans="1:37" s="17" customFormat="1" ht="15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  <c r="AK92" s="130"/>
    </row>
    <row r="93" spans="1:37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  <c r="AK93" s="130"/>
    </row>
    <row r="94" spans="1:37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  <c r="AK94" s="130"/>
    </row>
    <row r="95" spans="1:37" s="17" customFormat="1" ht="15" x14ac:dyDescent="0.2">
      <c r="A95" s="111"/>
      <c r="B95" s="111"/>
      <c r="C95" s="112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3"/>
      <c r="V95" s="130"/>
      <c r="W95" s="130"/>
      <c r="X95" s="130"/>
      <c r="Y95" s="130"/>
      <c r="Z95" s="130"/>
      <c r="AA95" s="130"/>
      <c r="AB95" s="130"/>
      <c r="AC95" s="130"/>
      <c r="AE95" s="130"/>
      <c r="AF95" s="130"/>
      <c r="AG95" s="130"/>
      <c r="AH95" s="130"/>
      <c r="AI95" s="130"/>
      <c r="AJ95" s="130"/>
      <c r="AK95" s="130"/>
    </row>
    <row r="96" spans="1:37" s="17" customFormat="1" ht="15" x14ac:dyDescent="0.2">
      <c r="A96" s="111"/>
      <c r="B96" s="111"/>
      <c r="C96" s="112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3"/>
      <c r="V96" s="130"/>
      <c r="W96" s="130"/>
      <c r="X96" s="130"/>
      <c r="Y96" s="130"/>
      <c r="Z96" s="130"/>
      <c r="AA96" s="130"/>
      <c r="AB96" s="130"/>
      <c r="AC96" s="130"/>
      <c r="AE96" s="130"/>
      <c r="AF96" s="130"/>
      <c r="AG96" s="130"/>
      <c r="AH96" s="130"/>
      <c r="AI96" s="130"/>
      <c r="AJ96" s="130"/>
      <c r="AK96" s="130"/>
    </row>
    <row r="97" spans="1:37" s="17" customFormat="1" ht="15" x14ac:dyDescent="0.2">
      <c r="A97" s="111"/>
      <c r="B97" s="111"/>
      <c r="C97" s="112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3"/>
      <c r="V97" s="130"/>
      <c r="W97" s="130"/>
      <c r="X97" s="130"/>
      <c r="Y97" s="130"/>
      <c r="Z97" s="130"/>
      <c r="AA97" s="130"/>
      <c r="AB97" s="130"/>
      <c r="AC97" s="130"/>
      <c r="AE97" s="130"/>
      <c r="AF97" s="130"/>
      <c r="AG97" s="130"/>
      <c r="AH97" s="130"/>
      <c r="AI97" s="130"/>
      <c r="AJ97" s="130"/>
      <c r="AK97" s="130"/>
    </row>
    <row r="98" spans="1:37" s="17" customFormat="1" ht="15" x14ac:dyDescent="0.2">
      <c r="A98" s="111"/>
      <c r="B98" s="111"/>
      <c r="C98" s="112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3"/>
      <c r="V98" s="130"/>
      <c r="W98" s="130"/>
      <c r="X98" s="130"/>
      <c r="Y98" s="130"/>
      <c r="Z98" s="130"/>
      <c r="AA98" s="130"/>
      <c r="AB98" s="130"/>
      <c r="AC98" s="130"/>
      <c r="AE98" s="130"/>
      <c r="AF98" s="130"/>
      <c r="AG98" s="130"/>
      <c r="AH98" s="130"/>
      <c r="AI98" s="130"/>
      <c r="AJ98" s="130"/>
      <c r="AK98" s="130"/>
    </row>
    <row r="99" spans="1:37" ht="6" customHeight="1" x14ac:dyDescent="0.2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189"/>
    </row>
    <row r="100" spans="1:37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</row>
    <row r="101" spans="1:37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</row>
    <row r="102" spans="1:37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</row>
    <row r="103" spans="1:37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</row>
    <row r="104" spans="1:37" s="90" customFormat="1" x14ac:dyDescent="0.2">
      <c r="A104" s="114"/>
      <c r="B104" s="114"/>
      <c r="C104" s="115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90"/>
      <c r="V104" s="123"/>
      <c r="W104" s="123"/>
      <c r="X104" s="123"/>
      <c r="Y104" s="123"/>
      <c r="Z104" s="123"/>
      <c r="AA104" s="63">
        <v>2</v>
      </c>
      <c r="AB104" s="123"/>
      <c r="AC104" s="123"/>
      <c r="AD104"/>
      <c r="AE104" s="123"/>
      <c r="AF104" s="123"/>
      <c r="AG104" s="123"/>
      <c r="AH104" s="123"/>
      <c r="AI104" s="123"/>
      <c r="AJ104" s="123"/>
      <c r="AK104" s="123"/>
    </row>
    <row r="105" spans="1:37" s="90" customFormat="1" x14ac:dyDescent="0.2">
      <c r="A105" s="114"/>
      <c r="B105" s="114"/>
      <c r="C105" s="115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90"/>
      <c r="V105" s="123"/>
      <c r="W105" s="123"/>
      <c r="X105" s="123"/>
      <c r="Y105" s="123"/>
      <c r="Z105" s="123"/>
      <c r="AA105" s="63">
        <v>143</v>
      </c>
      <c r="AB105" s="123"/>
      <c r="AC105" s="123"/>
      <c r="AD105"/>
      <c r="AE105" s="123"/>
      <c r="AF105" s="123"/>
      <c r="AG105" s="123"/>
      <c r="AH105" s="123"/>
      <c r="AI105" s="123"/>
      <c r="AJ105" s="123"/>
      <c r="AK105" s="123"/>
    </row>
    <row r="106" spans="1:37" s="90" customFormat="1" x14ac:dyDescent="0.2">
      <c r="A106" s="114"/>
      <c r="B106" s="114"/>
      <c r="C106" s="115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90"/>
      <c r="V106" s="123"/>
      <c r="W106" s="123"/>
      <c r="X106" s="123"/>
      <c r="Y106" s="123"/>
      <c r="Z106" s="123"/>
      <c r="AA106" s="63">
        <v>85</v>
      </c>
      <c r="AB106" s="123"/>
      <c r="AC106" s="123"/>
      <c r="AD106"/>
      <c r="AE106" s="123"/>
      <c r="AF106" s="123"/>
      <c r="AG106" s="123"/>
      <c r="AH106" s="123"/>
      <c r="AI106" s="123"/>
      <c r="AJ106" s="123"/>
      <c r="AK106" s="123"/>
    </row>
    <row r="107" spans="1:37" s="90" customFormat="1" x14ac:dyDescent="0.2">
      <c r="A107" s="114"/>
      <c r="B107" s="114"/>
      <c r="C107" s="115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90"/>
      <c r="V107" s="123"/>
      <c r="W107" s="123"/>
      <c r="X107" s="123"/>
      <c r="Y107" s="123"/>
      <c r="Z107" s="123"/>
      <c r="AA107" s="63">
        <v>18</v>
      </c>
      <c r="AB107" s="123"/>
      <c r="AC107" s="123"/>
      <c r="AD107"/>
      <c r="AE107" s="123"/>
      <c r="AF107" s="123"/>
      <c r="AG107" s="123"/>
      <c r="AH107" s="123"/>
      <c r="AI107" s="123"/>
      <c r="AJ107" s="123"/>
      <c r="AK107" s="123"/>
    </row>
    <row r="108" spans="1:37" s="90" customFormat="1" ht="6" customHeight="1" x14ac:dyDescent="0.2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189"/>
      <c r="V108" s="123"/>
      <c r="W108" s="123"/>
      <c r="X108" s="123"/>
      <c r="Y108" s="123"/>
      <c r="Z108" s="123"/>
      <c r="AA108" s="51"/>
      <c r="AB108" s="123"/>
      <c r="AC108" s="123"/>
      <c r="AD108"/>
      <c r="AE108" s="123"/>
      <c r="AF108" s="123"/>
      <c r="AG108" s="123"/>
      <c r="AH108" s="123"/>
      <c r="AI108" s="123"/>
      <c r="AJ108" s="123"/>
      <c r="AK108" s="123"/>
    </row>
    <row r="109" spans="1:37" s="90" customFormat="1" ht="11.45" customHeight="1" x14ac:dyDescent="0.2">
      <c r="A109" s="267" t="s">
        <v>44</v>
      </c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189"/>
      <c r="V109" s="123"/>
      <c r="W109" s="123"/>
      <c r="X109" s="123"/>
      <c r="Y109" s="123"/>
      <c r="Z109" s="123"/>
      <c r="AA109" s="10"/>
      <c r="AB109" s="123"/>
      <c r="AC109" s="123"/>
      <c r="AD109"/>
      <c r="AE109" s="123"/>
      <c r="AF109" s="123"/>
      <c r="AG109" s="123"/>
      <c r="AH109" s="123"/>
      <c r="AI109" s="123"/>
      <c r="AJ109" s="123"/>
      <c r="AK109" s="123"/>
    </row>
    <row r="110" spans="1:37" x14ac:dyDescent="0.2">
      <c r="AA110" s="63">
        <v>12</v>
      </c>
    </row>
    <row r="111" spans="1:37" x14ac:dyDescent="0.2">
      <c r="AA111" s="63">
        <v>2</v>
      </c>
    </row>
    <row r="112" spans="1:37" x14ac:dyDescent="0.2">
      <c r="AA112" s="63">
        <v>143</v>
      </c>
    </row>
    <row r="113" spans="27:27" x14ac:dyDescent="0.2">
      <c r="AA113" s="63">
        <v>6</v>
      </c>
    </row>
    <row r="114" spans="27:27" x14ac:dyDescent="0.2">
      <c r="AA114" s="10"/>
    </row>
    <row r="115" spans="27:27" x14ac:dyDescent="0.2">
      <c r="AA115" s="10"/>
    </row>
    <row r="116" spans="27:27" x14ac:dyDescent="0.2">
      <c r="AA116" s="63">
        <v>2</v>
      </c>
    </row>
    <row r="117" spans="27:27" x14ac:dyDescent="0.2">
      <c r="AA117" s="63">
        <v>143</v>
      </c>
    </row>
    <row r="118" spans="27:27" x14ac:dyDescent="0.2">
      <c r="AA118" s="63">
        <v>12</v>
      </c>
    </row>
    <row r="119" spans="27:27" x14ac:dyDescent="0.2">
      <c r="AA119" s="63">
        <v>134</v>
      </c>
    </row>
  </sheetData>
  <sortState ref="B12:S30">
    <sortCondition descending="1" ref="S12"/>
  </sortState>
  <mergeCells count="43">
    <mergeCell ref="A1:S1"/>
    <mergeCell ref="A2:S2"/>
    <mergeCell ref="D3:L3"/>
    <mergeCell ref="A5:S5"/>
    <mergeCell ref="F7:H7"/>
    <mergeCell ref="I7:K7"/>
    <mergeCell ref="L7:O7"/>
    <mergeCell ref="P7:R7"/>
    <mergeCell ref="A10:E10"/>
    <mergeCell ref="F10:F11"/>
    <mergeCell ref="H10:H11"/>
    <mergeCell ref="I10:I11"/>
    <mergeCell ref="J10:J11"/>
    <mergeCell ref="N10:N11"/>
    <mergeCell ref="O10:O11"/>
    <mergeCell ref="P10:P11"/>
    <mergeCell ref="Q10:Q11"/>
    <mergeCell ref="F8:H8"/>
    <mergeCell ref="I8:K8"/>
    <mergeCell ref="L8:O8"/>
    <mergeCell ref="P8:R8"/>
    <mergeCell ref="K10:K11"/>
    <mergeCell ref="K50:K51"/>
    <mergeCell ref="L50:L51"/>
    <mergeCell ref="M50:M51"/>
    <mergeCell ref="L10:L11"/>
    <mergeCell ref="M10:M11"/>
    <mergeCell ref="A109:S109"/>
    <mergeCell ref="G10:G11"/>
    <mergeCell ref="G50:G51"/>
    <mergeCell ref="N50:N51"/>
    <mergeCell ref="O50:O51"/>
    <mergeCell ref="P50:P51"/>
    <mergeCell ref="Q50:Q51"/>
    <mergeCell ref="R50:R51"/>
    <mergeCell ref="B51:E51"/>
    <mergeCell ref="R10:R11"/>
    <mergeCell ref="B11:E11"/>
    <mergeCell ref="A50:E50"/>
    <mergeCell ref="F50:F51"/>
    <mergeCell ref="H50:H51"/>
    <mergeCell ref="I50:I51"/>
    <mergeCell ref="J50:J51"/>
  </mergeCells>
  <conditionalFormatting sqref="W12:W47 AA12:AA26">
    <cfRule type="cellIs" dxfId="7" priority="2" operator="equal">
      <formula>0</formula>
    </cfRule>
  </conditionalFormatting>
  <conditionalFormatting sqref="W52:W70">
    <cfRule type="cellIs" dxfId="6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Normal="100" workbookViewId="0">
      <pane ySplit="1" topLeftCell="A2" activePane="bottomLeft" state="frozen"/>
      <selection pane="bottomLeft" activeCell="A2" sqref="A2:K2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V1" s="164" t="str">
        <f>IF(MAX(W:W)&gt;1,"DUPLICITA","")</f>
        <v/>
      </c>
    </row>
    <row r="2" spans="1:23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23" s="20" customFormat="1" ht="18.75" x14ac:dyDescent="0.3">
      <c r="C3" s="1"/>
      <c r="D3" s="251" t="str">
        <f>CTRL!B19</f>
        <v>3. etapa / 3rd Stage</v>
      </c>
      <c r="E3" s="251"/>
      <c r="F3" s="251"/>
      <c r="G3" s="251"/>
      <c r="H3" s="251"/>
      <c r="I3" s="49"/>
      <c r="K3" s="2" t="str">
        <f>"Com.no.: 17/" &amp; CTRL!B27</f>
        <v>Com.no.: 17/31</v>
      </c>
    </row>
    <row r="4" spans="1:23" s="20" customFormat="1" x14ac:dyDescent="0.2">
      <c r="A4" s="62" t="str">
        <f>"Datum / Date: "&amp;TEXT(CTRL!B12,"dd.mm.rrrr")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23" s="20" customFormat="1" ht="9" customHeight="1" x14ac:dyDescent="0.2">
      <c r="C6" s="1"/>
    </row>
    <row r="7" spans="1:23" s="20" customFormat="1" x14ac:dyDescent="0.2">
      <c r="A7" s="248" t="s">
        <v>0</v>
      </c>
      <c r="B7" s="248" t="s">
        <v>1</v>
      </c>
      <c r="C7" s="248" t="s">
        <v>2</v>
      </c>
      <c r="D7" s="248" t="s">
        <v>3</v>
      </c>
      <c r="E7" s="248" t="s">
        <v>4</v>
      </c>
      <c r="F7" s="248" t="s">
        <v>5</v>
      </c>
      <c r="G7" s="248" t="s">
        <v>65</v>
      </c>
      <c r="H7" s="248" t="s">
        <v>12</v>
      </c>
      <c r="I7" s="248" t="s">
        <v>58</v>
      </c>
      <c r="J7" s="248" t="s">
        <v>27</v>
      </c>
      <c r="K7" s="248" t="s">
        <v>94</v>
      </c>
      <c r="M7" s="248" t="s">
        <v>94</v>
      </c>
      <c r="N7" s="248" t="s">
        <v>94</v>
      </c>
      <c r="O7" s="248" t="s">
        <v>108</v>
      </c>
      <c r="P7" s="248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CTRL!B4 &amp; " km"</f>
        <v>Délka / Distance: 68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ROUND(CTRL!B4/(HOUR($I$12)+(MINUTE($I$12)+SECOND($I$12)/60)/60),2) &amp; " km/h"</f>
        <v>Průměrná rychlost / Average Speed: 36,83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221">
        <v>115</v>
      </c>
      <c r="C12" s="63" t="str">
        <f>VLOOKUP(B12,STARTOVKA,2,0)</f>
        <v>GER19961029</v>
      </c>
      <c r="D12" s="64" t="str">
        <f>VLOOKUP(B12,STARTOVKA,3,0)</f>
        <v>KOCH Chrisitan</v>
      </c>
      <c r="E12" s="65" t="str">
        <f>VLOOKUP(B12,STARTOVKA,4,0)</f>
        <v>TEAM BRANDENBURG - RSC COTTBUS</v>
      </c>
      <c r="F12" s="66" t="str">
        <f>VLOOKUP(B12,STARTOVKA,5,0)</f>
        <v>043833-11</v>
      </c>
      <c r="G12" s="67" t="str">
        <f>VLOOKUP(B12,STARTOVKA,6,0)</f>
        <v>JUNIOR</v>
      </c>
      <c r="H12" s="67" t="str">
        <f>VLOOKUP(B12,STARTOVKA,7,0)</f>
        <v>COT</v>
      </c>
      <c r="I12" s="68">
        <v>7.6921296296296293E-2</v>
      </c>
      <c r="J12" s="31">
        <f>I12-$I$12</f>
        <v>0</v>
      </c>
      <c r="K12" s="31">
        <f>M12+N12</f>
        <v>6.9444444444444444E-5</v>
      </c>
      <c r="M12" s="31"/>
      <c r="N12" s="31">
        <v>6.9444444444444444E-5</v>
      </c>
      <c r="O12" s="31">
        <f>VLOOKUP(B12,AFTER2,8,0)</f>
        <v>8.5049074074074069E-2</v>
      </c>
      <c r="P12" s="150">
        <f>I12-K12+O12</f>
        <v>0.16190092592592592</v>
      </c>
      <c r="R12" s="158">
        <v>115</v>
      </c>
      <c r="S12" s="159">
        <v>1</v>
      </c>
      <c r="T12" s="157">
        <f>IF(R12&lt;&gt;"",R12,"")</f>
        <v>115</v>
      </c>
      <c r="U12" s="160">
        <v>1</v>
      </c>
      <c r="V12" s="161">
        <v>2</v>
      </c>
      <c r="W12" s="157">
        <f>SUMIF(T:T,V:V,U:U)</f>
        <v>1</v>
      </c>
    </row>
    <row r="13" spans="1:23" s="69" customFormat="1" ht="13.7" customHeight="1" x14ac:dyDescent="0.25">
      <c r="A13" s="53">
        <v>2</v>
      </c>
      <c r="B13" s="99">
        <v>175</v>
      </c>
      <c r="C13" s="63" t="str">
        <f>VLOOKUP(B13,STARTOVKA,2,0)</f>
        <v>SVK19960415</v>
      </c>
      <c r="D13" s="64" t="str">
        <f>VLOOKUP(B13,STARTOVKA,3,0)</f>
        <v>ZVERKO David</v>
      </c>
      <c r="E13" s="65" t="str">
        <f>VLOOKUP(B13,STARTOVKA,4,0)</f>
        <v xml:space="preserve">SLOVAK CYCLING FEDERATION </v>
      </c>
      <c r="F13" s="66">
        <f>VLOOKUP(B13,STARTOVKA,5,0)</f>
        <v>5674</v>
      </c>
      <c r="G13" s="67" t="str">
        <f>VLOOKUP(B13,STARTOVKA,6,0)</f>
        <v>JUNIOR</v>
      </c>
      <c r="H13" s="67" t="str">
        <f>VLOOKUP(B13,STARTOVKA,7,0)</f>
        <v>SVK</v>
      </c>
      <c r="I13" s="68">
        <v>7.7268518518518514E-2</v>
      </c>
      <c r="J13" s="31">
        <f>I13-$I$12</f>
        <v>3.4722222222222099E-4</v>
      </c>
      <c r="K13" s="31">
        <f>M13+N13</f>
        <v>4.6296296296296294E-5</v>
      </c>
      <c r="M13" s="31"/>
      <c r="N13" s="31">
        <v>4.6296296296296294E-5</v>
      </c>
      <c r="O13" s="31">
        <f>VLOOKUP(B13,AFTER2,8,0)</f>
        <v>8.5214988425925967E-2</v>
      </c>
      <c r="P13" s="150">
        <f>I13-K13+O13</f>
        <v>0.1624372106481482</v>
      </c>
      <c r="R13" s="158">
        <v>175</v>
      </c>
      <c r="S13" s="159">
        <v>2</v>
      </c>
      <c r="T13" s="157">
        <f t="shared" ref="T13:T76" si="0">IF(R13&lt;&gt;"",R13,"")</f>
        <v>175</v>
      </c>
      <c r="U13" s="160">
        <v>1</v>
      </c>
      <c r="V13" s="161">
        <v>3</v>
      </c>
      <c r="W13" s="157">
        <f>SUMIF(T:T,V:V,U:U)</f>
        <v>1</v>
      </c>
    </row>
    <row r="14" spans="1:23" s="69" customFormat="1" ht="13.7" customHeight="1" x14ac:dyDescent="0.25">
      <c r="A14" s="53">
        <v>3</v>
      </c>
      <c r="B14" s="99">
        <v>101</v>
      </c>
      <c r="C14" s="63" t="str">
        <f>VLOOKUP(B14,STARTOVKA,2,0)</f>
        <v>CZE19970829</v>
      </c>
      <c r="D14" s="64" t="str">
        <f>VLOOKUP(B14,STARTOVKA,3,0)</f>
        <v xml:space="preserve">BAŘTIPÁN Josef </v>
      </c>
      <c r="E14" s="65" t="str">
        <f>VLOOKUP(B14,STARTOVKA,4,0)</f>
        <v xml:space="preserve">TJ STADION LOUNY </v>
      </c>
      <c r="F14" s="66">
        <f>VLOOKUP(B14,STARTOVKA,5,0)</f>
        <v>9818</v>
      </c>
      <c r="G14" s="67" t="str">
        <f>VLOOKUP(B14,STARTOVKA,6,0)</f>
        <v>JUNIOR*</v>
      </c>
      <c r="H14" s="67" t="str">
        <f>VLOOKUP(B14,STARTOVKA,7,0)</f>
        <v>LOU</v>
      </c>
      <c r="I14" s="68">
        <v>7.7268518518518514E-2</v>
      </c>
      <c r="J14" s="31">
        <f>I14-$I$12</f>
        <v>3.4722222222222099E-4</v>
      </c>
      <c r="K14" s="31">
        <f>M14+N14</f>
        <v>2.3148148148148147E-5</v>
      </c>
      <c r="M14" s="31"/>
      <c r="N14" s="31">
        <v>2.3148148148148147E-5</v>
      </c>
      <c r="O14" s="31">
        <f>VLOOKUP(B14,AFTER2,8,0)</f>
        <v>8.5988101851851878E-2</v>
      </c>
      <c r="P14" s="150">
        <f t="shared" ref="P14:P77" si="1">I14-K14+O14</f>
        <v>0.16323347222222223</v>
      </c>
      <c r="R14" s="158">
        <v>101</v>
      </c>
      <c r="S14" s="159">
        <v>3</v>
      </c>
      <c r="T14" s="157">
        <f t="shared" si="0"/>
        <v>101</v>
      </c>
      <c r="U14" s="160">
        <v>1</v>
      </c>
      <c r="V14" s="161">
        <v>4</v>
      </c>
      <c r="W14" s="157">
        <f>SUMIF(T:T,V:V,U:U)</f>
        <v>1</v>
      </c>
    </row>
    <row r="15" spans="1:23" s="69" customFormat="1" ht="13.7" customHeight="1" x14ac:dyDescent="0.25">
      <c r="A15" s="53">
        <v>4</v>
      </c>
      <c r="B15" s="99">
        <v>45</v>
      </c>
      <c r="C15" s="63" t="str">
        <f>VLOOKUP(B15,STARTOVKA,2,0)</f>
        <v>CZE19960630</v>
      </c>
      <c r="D15" s="64" t="str">
        <f>VLOOKUP(B15,STARTOVKA,3,0)</f>
        <v xml:space="preserve">LEHKÝ Roman </v>
      </c>
      <c r="E15" s="65" t="str">
        <f>VLOOKUP(B15,STARTOVKA,4,0)</f>
        <v>KC KOOPERATIVA SG JABLONEC N.N</v>
      </c>
      <c r="F15" s="66">
        <f>VLOOKUP(B15,STARTOVKA,5,0)</f>
        <v>9859</v>
      </c>
      <c r="G15" s="67" t="str">
        <f>VLOOKUP(B15,STARTOVKA,6,0)</f>
        <v>JUNIOR</v>
      </c>
      <c r="H15" s="67" t="str">
        <f>VLOOKUP(B15,STARTOVKA,7,0)</f>
        <v>KOO</v>
      </c>
      <c r="I15" s="68">
        <v>7.7268518518518514E-2</v>
      </c>
      <c r="J15" s="31">
        <f>I15-$I$12</f>
        <v>3.4722222222222099E-4</v>
      </c>
      <c r="K15" s="31">
        <f>M15+N15</f>
        <v>0</v>
      </c>
      <c r="M15" s="31"/>
      <c r="N15" s="31"/>
      <c r="O15" s="31">
        <f>VLOOKUP(B15,AFTER2,8,0)</f>
        <v>8.5213599537037013E-2</v>
      </c>
      <c r="P15" s="150">
        <f t="shared" si="1"/>
        <v>0.16248211805555551</v>
      </c>
      <c r="R15" s="158">
        <v>45</v>
      </c>
      <c r="S15" s="159">
        <v>4</v>
      </c>
      <c r="T15" s="157">
        <f t="shared" si="0"/>
        <v>45</v>
      </c>
      <c r="U15" s="160">
        <v>1</v>
      </c>
      <c r="V15" s="161">
        <v>5</v>
      </c>
      <c r="W15" s="157">
        <f>SUMIF(T:T,V:V,U:U)</f>
        <v>1</v>
      </c>
    </row>
    <row r="16" spans="1:23" s="69" customFormat="1" ht="13.7" customHeight="1" x14ac:dyDescent="0.25">
      <c r="A16" s="53">
        <v>5</v>
      </c>
      <c r="B16" s="221">
        <v>151</v>
      </c>
      <c r="C16" s="63" t="str">
        <f>VLOOKUP(B16,STARTOVKA,2,0)</f>
        <v>CZE19960501</v>
      </c>
      <c r="D16" s="64" t="str">
        <f>VLOOKUP(B16,STARTOVKA,3,0)</f>
        <v>TOMAN Vojtěch</v>
      </c>
      <c r="E16" s="65" t="str">
        <f>VLOOKUP(B16,STARTOVKA,4,0)</f>
        <v>STEVENS ZNOJMO</v>
      </c>
      <c r="F16" s="66">
        <f>VLOOKUP(B16,STARTOVKA,5,0)</f>
        <v>9096</v>
      </c>
      <c r="G16" s="67" t="str">
        <f>VLOOKUP(B16,STARTOVKA,6,0)</f>
        <v>JUNIOR</v>
      </c>
      <c r="H16" s="67" t="str">
        <f>VLOOKUP(B16,STARTOVKA,7,0)</f>
        <v>SKC</v>
      </c>
      <c r="I16" s="68">
        <v>7.7268518518518514E-2</v>
      </c>
      <c r="J16" s="31">
        <f>I16-$I$12</f>
        <v>3.4722222222222099E-4</v>
      </c>
      <c r="K16" s="31">
        <f>M16+N16</f>
        <v>0</v>
      </c>
      <c r="M16" s="31"/>
      <c r="N16" s="31"/>
      <c r="O16" s="31">
        <f>VLOOKUP(B16,AFTER2,8,0)</f>
        <v>8.5697893518518461E-2</v>
      </c>
      <c r="P16" s="150">
        <f t="shared" si="1"/>
        <v>0.16296641203703699</v>
      </c>
      <c r="R16" s="158">
        <v>151</v>
      </c>
      <c r="S16" s="159">
        <v>5</v>
      </c>
      <c r="T16" s="157">
        <f t="shared" si="0"/>
        <v>151</v>
      </c>
      <c r="U16" s="160">
        <v>1</v>
      </c>
      <c r="V16" s="161">
        <v>6</v>
      </c>
      <c r="W16" s="157">
        <f>SUMIF(T:T,V:V,U:U)</f>
        <v>1</v>
      </c>
    </row>
    <row r="17" spans="1:23" s="69" customFormat="1" ht="13.7" customHeight="1" x14ac:dyDescent="0.25">
      <c r="A17" s="53">
        <v>6</v>
      </c>
      <c r="B17" s="99">
        <v>82</v>
      </c>
      <c r="C17" s="63" t="str">
        <f>VLOOKUP(B17,STARTOVKA,2,0)</f>
        <v>CZE19960127</v>
      </c>
      <c r="D17" s="64" t="str">
        <f>VLOOKUP(B17,STARTOVKA,3,0)</f>
        <v xml:space="preserve">ŠIPOŠ Marek </v>
      </c>
      <c r="E17" s="65" t="str">
        <f>VLOOKUP(B17,STARTOVKA,4,0)</f>
        <v xml:space="preserve">TJ KOVO PRAHA </v>
      </c>
      <c r="F17" s="66">
        <f>VLOOKUP(B17,STARTOVKA,5,0)</f>
        <v>17984</v>
      </c>
      <c r="G17" s="67" t="str">
        <f>VLOOKUP(B17,STARTOVKA,6,0)</f>
        <v>JUNIOR</v>
      </c>
      <c r="H17" s="67" t="str">
        <f>VLOOKUP(B17,STARTOVKA,7,0)</f>
        <v>KOV</v>
      </c>
      <c r="I17" s="68">
        <v>7.7268518518518514E-2</v>
      </c>
      <c r="J17" s="31">
        <f>I17-$I$12</f>
        <v>3.4722222222222099E-4</v>
      </c>
      <c r="K17" s="31">
        <f>M17+N17</f>
        <v>0</v>
      </c>
      <c r="M17" s="31"/>
      <c r="N17" s="31"/>
      <c r="O17" s="31">
        <f>VLOOKUP(B17,AFTER2,8,0)</f>
        <v>8.5809606481481532E-2</v>
      </c>
      <c r="P17" s="150">
        <f t="shared" si="1"/>
        <v>0.16307812500000005</v>
      </c>
      <c r="R17" s="158">
        <v>82</v>
      </c>
      <c r="S17" s="159">
        <v>6</v>
      </c>
      <c r="T17" s="157">
        <f t="shared" si="0"/>
        <v>82</v>
      </c>
      <c r="U17" s="160">
        <v>1</v>
      </c>
      <c r="V17" s="161">
        <v>7</v>
      </c>
      <c r="W17" s="157">
        <f>SUMIF(T:T,V:V,U:U)</f>
        <v>1</v>
      </c>
    </row>
    <row r="18" spans="1:23" s="69" customFormat="1" ht="13.7" customHeight="1" x14ac:dyDescent="0.25">
      <c r="A18" s="53">
        <v>7</v>
      </c>
      <c r="B18" s="99">
        <v>146</v>
      </c>
      <c r="C18" s="63" t="str">
        <f>VLOOKUP(B18,STARTOVKA,2,0)</f>
        <v>CZE19980130</v>
      </c>
      <c r="D18" s="64" t="str">
        <f>VLOOKUP(B18,STARTOVKA,3,0)</f>
        <v xml:space="preserve">OTRUBA Jakub </v>
      </c>
      <c r="E18" s="65" t="str">
        <f>VLOOKUP(B18,STARTOVKA,4,0)</f>
        <v xml:space="preserve">MAPEI CYKLO KAŇKOVSKÝ </v>
      </c>
      <c r="F18" s="66">
        <f>VLOOKUP(B18,STARTOVKA,5,0)</f>
        <v>19627</v>
      </c>
      <c r="G18" s="67" t="str">
        <f>VLOOKUP(B18,STARTOVKA,6,0)</f>
        <v>CADET</v>
      </c>
      <c r="H18" s="67" t="str">
        <f>VLOOKUP(B18,STARTOVKA,7,0)</f>
        <v>MAP</v>
      </c>
      <c r="I18" s="68">
        <v>7.7268518518518514E-2</v>
      </c>
      <c r="J18" s="31">
        <f>I18-$I$12</f>
        <v>3.4722222222222099E-4</v>
      </c>
      <c r="K18" s="31">
        <f>M18+N18</f>
        <v>0</v>
      </c>
      <c r="M18" s="31"/>
      <c r="N18" s="31"/>
      <c r="O18" s="31">
        <f>VLOOKUP(B18,AFTER2,8,0)</f>
        <v>8.522692129629636E-2</v>
      </c>
      <c r="P18" s="150">
        <f t="shared" si="1"/>
        <v>0.16249543981481487</v>
      </c>
      <c r="R18" s="158">
        <v>146</v>
      </c>
      <c r="S18" s="159">
        <v>7</v>
      </c>
      <c r="T18" s="157">
        <f t="shared" si="0"/>
        <v>146</v>
      </c>
      <c r="U18" s="160">
        <v>1</v>
      </c>
      <c r="V18" s="161">
        <v>8</v>
      </c>
      <c r="W18" s="157">
        <f>SUMIF(T:T,V:V,U:U)</f>
        <v>1</v>
      </c>
    </row>
    <row r="19" spans="1:23" s="69" customFormat="1" ht="13.7" customHeight="1" x14ac:dyDescent="0.25">
      <c r="A19" s="53">
        <v>8</v>
      </c>
      <c r="B19" s="99">
        <v>116</v>
      </c>
      <c r="C19" s="63" t="str">
        <f>VLOOKUP(B19,STARTOVKA,2,0)</f>
        <v>GER19960909</v>
      </c>
      <c r="D19" s="64" t="str">
        <f>VLOOKUP(B19,STARTOVKA,3,0)</f>
        <v>KÄMNA Lennard</v>
      </c>
      <c r="E19" s="65" t="str">
        <f>VLOOKUP(B19,STARTOVKA,4,0)</f>
        <v>TEAM BRANDENBURG - RSC COTTBUS</v>
      </c>
      <c r="F19" s="66" t="str">
        <f>VLOOKUP(B19,STARTOVKA,5,0)</f>
        <v>050980-11</v>
      </c>
      <c r="G19" s="67" t="str">
        <f>VLOOKUP(B19,STARTOVKA,6,0)</f>
        <v>JUNIOR</v>
      </c>
      <c r="H19" s="67" t="str">
        <f>VLOOKUP(B19,STARTOVKA,7,0)</f>
        <v>COT</v>
      </c>
      <c r="I19" s="68">
        <v>7.7268518518518514E-2</v>
      </c>
      <c r="J19" s="31">
        <f>I19-$I$12</f>
        <v>3.4722222222222099E-4</v>
      </c>
      <c r="K19" s="31">
        <f>M19+N19</f>
        <v>0</v>
      </c>
      <c r="M19" s="31"/>
      <c r="N19" s="31"/>
      <c r="O19" s="31">
        <f>VLOOKUP(B19,AFTER2,8,0)</f>
        <v>8.4517094907407414E-2</v>
      </c>
      <c r="P19" s="150">
        <f t="shared" si="1"/>
        <v>0.16178561342592593</v>
      </c>
      <c r="R19" s="158">
        <v>116</v>
      </c>
      <c r="S19" s="159">
        <v>8</v>
      </c>
      <c r="T19" s="157">
        <f t="shared" si="0"/>
        <v>116</v>
      </c>
      <c r="U19" s="160">
        <v>1</v>
      </c>
      <c r="V19" s="161">
        <v>9</v>
      </c>
      <c r="W19" s="157">
        <f>SUMIF(T:T,V:V,U:U)</f>
        <v>1</v>
      </c>
    </row>
    <row r="20" spans="1:23" s="69" customFormat="1" ht="13.7" customHeight="1" x14ac:dyDescent="0.25">
      <c r="A20" s="53">
        <v>9</v>
      </c>
      <c r="B20" s="99">
        <v>105</v>
      </c>
      <c r="C20" s="63" t="str">
        <f>VLOOKUP(B20,STARTOVKA,2,0)</f>
        <v>CZE19960511</v>
      </c>
      <c r="D20" s="64" t="str">
        <f>VLOOKUP(B20,STARTOVKA,3,0)</f>
        <v xml:space="preserve">RAJCHART Jan </v>
      </c>
      <c r="E20" s="65" t="str">
        <f>VLOOKUP(B20,STARTOVKA,4,0)</f>
        <v xml:space="preserve">NUTREND SPECIALIZED RACING </v>
      </c>
      <c r="F20" s="66">
        <f>VLOOKUP(B20,STARTOVKA,5,0)</f>
        <v>7437</v>
      </c>
      <c r="G20" s="67" t="str">
        <f>VLOOKUP(B20,STARTOVKA,6,0)</f>
        <v>JUNIOR</v>
      </c>
      <c r="H20" s="67" t="str">
        <f>VLOOKUP(B20,STARTOVKA,7,0)</f>
        <v>LOU</v>
      </c>
      <c r="I20" s="68">
        <v>7.7268518518518514E-2</v>
      </c>
      <c r="J20" s="31">
        <f>I20-$I$12</f>
        <v>3.4722222222222099E-4</v>
      </c>
      <c r="K20" s="31">
        <f>M20+N20</f>
        <v>0</v>
      </c>
      <c r="M20" s="31"/>
      <c r="N20" s="31"/>
      <c r="O20" s="31">
        <f>VLOOKUP(B20,AFTER2,8,0)</f>
        <v>8.5447835648148146E-2</v>
      </c>
      <c r="P20" s="150">
        <f t="shared" si="1"/>
        <v>0.16271635416666666</v>
      </c>
      <c r="R20" s="158">
        <v>105</v>
      </c>
      <c r="S20" s="159">
        <v>9</v>
      </c>
      <c r="T20" s="157">
        <f t="shared" si="0"/>
        <v>105</v>
      </c>
      <c r="U20" s="160">
        <v>1</v>
      </c>
      <c r="V20" s="161">
        <v>10</v>
      </c>
      <c r="W20" s="157">
        <f>SUMIF(T:T,V:V,U:U)</f>
        <v>1</v>
      </c>
    </row>
    <row r="21" spans="1:23" s="69" customFormat="1" ht="13.7" customHeight="1" x14ac:dyDescent="0.25">
      <c r="A21" s="53">
        <v>10</v>
      </c>
      <c r="B21" s="99">
        <v>133</v>
      </c>
      <c r="C21" s="63" t="str">
        <f>VLOOKUP(B21,STARTOVKA,2,0)</f>
        <v>CZE19960924</v>
      </c>
      <c r="D21" s="64" t="str">
        <f>VLOOKUP(B21,STARTOVKA,3,0)</f>
        <v>CAMRDA Pavel</v>
      </c>
      <c r="E21" s="65" t="str">
        <f>VLOOKUP(B21,STARTOVKA,4,0)</f>
        <v>RC ARBÖ WELS GOURMETFEIN</v>
      </c>
      <c r="F21" s="66">
        <f>VLOOKUP(B21,STARTOVKA,5,0)</f>
        <v>8509</v>
      </c>
      <c r="G21" s="67" t="str">
        <f>VLOOKUP(B21,STARTOVKA,6,0)</f>
        <v>JUNIOR</v>
      </c>
      <c r="H21" s="67" t="str">
        <f>VLOOKUP(B21,STARTOVKA,7,0)</f>
        <v>RCA</v>
      </c>
      <c r="I21" s="68">
        <v>7.7268518518518514E-2</v>
      </c>
      <c r="J21" s="31">
        <f>I21-$I$12</f>
        <v>3.4722222222222099E-4</v>
      </c>
      <c r="K21" s="31">
        <f>M21+N21</f>
        <v>0</v>
      </c>
      <c r="M21" s="31"/>
      <c r="N21" s="31"/>
      <c r="O21" s="31">
        <f>VLOOKUP(B21,AFTER2,8,0)</f>
        <v>8.5466087962962956E-2</v>
      </c>
      <c r="P21" s="150">
        <f t="shared" si="1"/>
        <v>0.16273460648148147</v>
      </c>
      <c r="R21" s="158">
        <v>133</v>
      </c>
      <c r="S21" s="159">
        <v>10</v>
      </c>
      <c r="T21" s="157">
        <f t="shared" si="0"/>
        <v>133</v>
      </c>
      <c r="U21" s="160">
        <v>1</v>
      </c>
      <c r="V21" s="161">
        <v>11</v>
      </c>
      <c r="W21" s="157">
        <f>SUMIF(T:T,V:V,U:U)</f>
        <v>0</v>
      </c>
    </row>
    <row r="22" spans="1:23" s="69" customFormat="1" ht="13.7" customHeight="1" x14ac:dyDescent="0.25">
      <c r="A22" s="53">
        <v>11</v>
      </c>
      <c r="B22" s="99">
        <v>176</v>
      </c>
      <c r="C22" s="63" t="str">
        <f>VLOOKUP(B22,STARTOVKA,2,0)</f>
        <v>SVK19960130</v>
      </c>
      <c r="D22" s="64" t="str">
        <f>VLOOKUP(B22,STARTOVKA,3,0)</f>
        <v>BELLAN Juraj</v>
      </c>
      <c r="E22" s="65" t="str">
        <f>VLOOKUP(B22,STARTOVKA,4,0)</f>
        <v xml:space="preserve">SLOVAK CYCLING FEDERATION </v>
      </c>
      <c r="F22" s="66">
        <f>VLOOKUP(B22,STARTOVKA,5,0)</f>
        <v>5681</v>
      </c>
      <c r="G22" s="67" t="str">
        <f>VLOOKUP(B22,STARTOVKA,6,0)</f>
        <v>JUNIOR</v>
      </c>
      <c r="H22" s="67" t="str">
        <f>VLOOKUP(B22,STARTOVKA,7,0)</f>
        <v>SVK</v>
      </c>
      <c r="I22" s="68">
        <v>7.7268518518518514E-2</v>
      </c>
      <c r="J22" s="31">
        <f>I22-$I$12</f>
        <v>3.4722222222222099E-4</v>
      </c>
      <c r="K22" s="31">
        <f>M22+N22</f>
        <v>0</v>
      </c>
      <c r="M22" s="31"/>
      <c r="N22" s="31"/>
      <c r="O22" s="31">
        <f>VLOOKUP(B22,AFTER2,8,0)</f>
        <v>8.5453773148148171E-2</v>
      </c>
      <c r="P22" s="150">
        <f t="shared" si="1"/>
        <v>0.16272229166666669</v>
      </c>
      <c r="R22" s="158">
        <v>176</v>
      </c>
      <c r="S22" s="159">
        <v>11</v>
      </c>
      <c r="T22" s="157">
        <f t="shared" si="0"/>
        <v>176</v>
      </c>
      <c r="U22" s="160">
        <v>1</v>
      </c>
      <c r="V22" s="161">
        <v>12</v>
      </c>
      <c r="W22" s="157">
        <f>SUMIF(T:T,V:V,U:U)</f>
        <v>1</v>
      </c>
    </row>
    <row r="23" spans="1:23" s="69" customFormat="1" ht="13.7" customHeight="1" x14ac:dyDescent="0.25">
      <c r="A23" s="53">
        <v>12</v>
      </c>
      <c r="B23" s="99">
        <v>52</v>
      </c>
      <c r="C23" s="63" t="str">
        <f>VLOOKUP(B23,STARTOVKA,2,0)</f>
        <v>POL19961008</v>
      </c>
      <c r="D23" s="64" t="str">
        <f>VLOOKUP(B23,STARTOVKA,3,0)</f>
        <v>ZLOTOWICZ Patryk</v>
      </c>
      <c r="E23" s="65" t="str">
        <f>VLOOKUP(B23,STARTOVKA,4,0)</f>
        <v>KLUCZBORK</v>
      </c>
      <c r="F23" s="66" t="str">
        <f>VLOOKUP(B23,STARTOVKA,5,0)</f>
        <v>OPO-016</v>
      </c>
      <c r="G23" s="67" t="str">
        <f>VLOOKUP(B23,STARTOVKA,6,0)</f>
        <v>JUNIOR</v>
      </c>
      <c r="H23" s="67" t="str">
        <f>VLOOKUP(B23,STARTOVKA,7,0)</f>
        <v>GLI</v>
      </c>
      <c r="I23" s="68">
        <v>7.7268518518518514E-2</v>
      </c>
      <c r="J23" s="31">
        <f>I23-$I$12</f>
        <v>3.4722222222222099E-4</v>
      </c>
      <c r="K23" s="31">
        <f>M23+N23</f>
        <v>0</v>
      </c>
      <c r="M23" s="31"/>
      <c r="N23" s="31"/>
      <c r="O23" s="31">
        <f>VLOOKUP(B23,AFTER2,8,0)</f>
        <v>8.5357685185185217E-2</v>
      </c>
      <c r="P23" s="150">
        <f t="shared" si="1"/>
        <v>0.16262620370370373</v>
      </c>
      <c r="R23" s="158">
        <v>52</v>
      </c>
      <c r="S23" s="159">
        <v>12</v>
      </c>
      <c r="T23" s="157">
        <f t="shared" si="0"/>
        <v>52</v>
      </c>
      <c r="U23" s="160">
        <v>1</v>
      </c>
      <c r="V23" s="161">
        <v>13</v>
      </c>
      <c r="W23" s="157">
        <f>SUMIF(T:T,V:V,U:U)</f>
        <v>1</v>
      </c>
    </row>
    <row r="24" spans="1:23" s="69" customFormat="1" ht="13.7" customHeight="1" x14ac:dyDescent="0.25">
      <c r="A24" s="53">
        <v>13</v>
      </c>
      <c r="B24" s="99">
        <v>172</v>
      </c>
      <c r="C24" s="63" t="str">
        <f>VLOOKUP(B24,STARTOVKA,2,0)</f>
        <v>SVK19971030</v>
      </c>
      <c r="D24" s="64" t="str">
        <f>VLOOKUP(B24,STARTOVKA,3,0)</f>
        <v>ZIMANY Kristian</v>
      </c>
      <c r="E24" s="65" t="str">
        <f>VLOOKUP(B24,STARTOVKA,4,0)</f>
        <v xml:space="preserve">SLOVAK CYCLING FEDERATION </v>
      </c>
      <c r="F24" s="66">
        <f>VLOOKUP(B24,STARTOVKA,5,0)</f>
        <v>5765</v>
      </c>
      <c r="G24" s="67" t="str">
        <f>VLOOKUP(B24,STARTOVKA,6,0)</f>
        <v>JUNIOR*</v>
      </c>
      <c r="H24" s="67" t="str">
        <f>VLOOKUP(B24,STARTOVKA,7,0)</f>
        <v>SVK</v>
      </c>
      <c r="I24" s="68">
        <v>7.7268518518518514E-2</v>
      </c>
      <c r="J24" s="31">
        <f>I24-$I$12</f>
        <v>3.4722222222222099E-4</v>
      </c>
      <c r="K24" s="31">
        <f>M24+N24</f>
        <v>0</v>
      </c>
      <c r="M24" s="31"/>
      <c r="N24" s="31"/>
      <c r="O24" s="31">
        <f>VLOOKUP(B24,AFTER2,8,0)</f>
        <v>8.6072986111111166E-2</v>
      </c>
      <c r="P24" s="150">
        <f t="shared" si="1"/>
        <v>0.16334150462962968</v>
      </c>
      <c r="R24" s="158">
        <v>172</v>
      </c>
      <c r="S24" s="159">
        <v>13</v>
      </c>
      <c r="T24" s="157">
        <f t="shared" si="0"/>
        <v>172</v>
      </c>
      <c r="U24" s="160">
        <v>1</v>
      </c>
      <c r="V24" s="161">
        <v>14</v>
      </c>
      <c r="W24" s="157">
        <f>SUMIF(T:T,V:V,U:U)</f>
        <v>1</v>
      </c>
    </row>
    <row r="25" spans="1:23" s="69" customFormat="1" ht="13.7" customHeight="1" x14ac:dyDescent="0.25">
      <c r="A25" s="53">
        <v>14</v>
      </c>
      <c r="B25" s="99">
        <v>41</v>
      </c>
      <c r="C25" s="63" t="str">
        <f>VLOOKUP(B25,STARTOVKA,2,0)</f>
        <v>CZE19960310</v>
      </c>
      <c r="D25" s="64" t="str">
        <f>VLOOKUP(B25,STARTOVKA,3,0)</f>
        <v xml:space="preserve">ŠULC Jakub </v>
      </c>
      <c r="E25" s="65" t="str">
        <f>VLOOKUP(B25,STARTOVKA,4,0)</f>
        <v xml:space="preserve">KOLA-BBM.CZ </v>
      </c>
      <c r="F25" s="66">
        <f>VLOOKUP(B25,STARTOVKA,5,0)</f>
        <v>3358</v>
      </c>
      <c r="G25" s="67" t="str">
        <f>VLOOKUP(B25,STARTOVKA,6,0)</f>
        <v>JUNIOR</v>
      </c>
      <c r="H25" s="67" t="str">
        <f>VLOOKUP(B25,STARTOVKA,7,0)</f>
        <v>KOO</v>
      </c>
      <c r="I25" s="68">
        <v>7.7268518518518514E-2</v>
      </c>
      <c r="J25" s="31">
        <f>I25-$I$12</f>
        <v>3.4722222222222099E-4</v>
      </c>
      <c r="K25" s="31">
        <f>M25+N25</f>
        <v>0</v>
      </c>
      <c r="M25" s="31"/>
      <c r="N25" s="31"/>
      <c r="O25" s="31">
        <f>VLOOKUP(B25,AFTER2,8,0)</f>
        <v>8.5737824074074043E-2</v>
      </c>
      <c r="P25" s="150">
        <f t="shared" si="1"/>
        <v>0.16300634259259256</v>
      </c>
      <c r="R25" s="158">
        <v>41</v>
      </c>
      <c r="S25" s="159">
        <v>14</v>
      </c>
      <c r="T25" s="157">
        <f t="shared" si="0"/>
        <v>41</v>
      </c>
      <c r="U25" s="160">
        <v>1</v>
      </c>
      <c r="V25" s="161">
        <v>15</v>
      </c>
      <c r="W25" s="157">
        <f>SUMIF(T:T,V:V,U:U)</f>
        <v>1</v>
      </c>
    </row>
    <row r="26" spans="1:23" s="69" customFormat="1" ht="13.7" customHeight="1" x14ac:dyDescent="0.25">
      <c r="A26" s="53">
        <v>15</v>
      </c>
      <c r="B26" s="221">
        <v>150</v>
      </c>
      <c r="C26" s="63" t="str">
        <f>VLOOKUP(B26,STARTOVKA,2,0)</f>
        <v>CZE19970926</v>
      </c>
      <c r="D26" s="64" t="str">
        <f>VLOOKUP(B26,STARTOVKA,3,0)</f>
        <v xml:space="preserve">BRÁZDA Michal </v>
      </c>
      <c r="E26" s="65" t="str">
        <f>VLOOKUP(B26,STARTOVKA,4,0)</f>
        <v xml:space="preserve">MAPEI CYKLO KAŇKOVSKÝ </v>
      </c>
      <c r="F26" s="66">
        <f>VLOOKUP(B26,STARTOVKA,5,0)</f>
        <v>8547</v>
      </c>
      <c r="G26" s="67" t="str">
        <f>VLOOKUP(B26,STARTOVKA,6,0)</f>
        <v>JUNIOR*</v>
      </c>
      <c r="H26" s="67" t="str">
        <f>VLOOKUP(B26,STARTOVKA,7,0)</f>
        <v>MAP</v>
      </c>
      <c r="I26" s="68">
        <v>7.8437500000000007E-2</v>
      </c>
      <c r="J26" s="31">
        <f>I26-$I$12</f>
        <v>1.516203703703714E-3</v>
      </c>
      <c r="K26" s="31">
        <f>M26+N26</f>
        <v>0</v>
      </c>
      <c r="M26" s="31"/>
      <c r="N26" s="31"/>
      <c r="O26" s="31">
        <f>VLOOKUP(B26,AFTER2,8,0)</f>
        <v>8.5602951388888932E-2</v>
      </c>
      <c r="P26" s="150">
        <f t="shared" si="1"/>
        <v>0.16404045138888895</v>
      </c>
      <c r="R26" s="158">
        <v>150</v>
      </c>
      <c r="S26" s="159">
        <v>15</v>
      </c>
      <c r="T26" s="157">
        <f t="shared" si="0"/>
        <v>150</v>
      </c>
      <c r="U26" s="160">
        <v>1</v>
      </c>
      <c r="V26" s="161">
        <v>16</v>
      </c>
      <c r="W26" s="157">
        <f>SUMIF(T:T,V:V,U:U)</f>
        <v>1</v>
      </c>
    </row>
    <row r="27" spans="1:23" s="69" customFormat="1" ht="13.7" customHeight="1" x14ac:dyDescent="0.25">
      <c r="A27" s="53">
        <v>16</v>
      </c>
      <c r="B27" s="99">
        <v>13</v>
      </c>
      <c r="C27" s="63" t="str">
        <f>VLOOKUP(B27,STARTOVKA,2,0)</f>
        <v>GER19970125</v>
      </c>
      <c r="D27" s="64" t="str">
        <f>VLOOKUP(B27,STARTOVKA,3,0)</f>
        <v>FRANZ Toni</v>
      </c>
      <c r="E27" s="65" t="str">
        <f>VLOOKUP(B27,STARTOVKA,4,0)</f>
        <v>JUNIOREN SCHWALBE TEAM SACHSEN</v>
      </c>
      <c r="F27" s="66" t="str">
        <f>VLOOKUP(B27,STARTOVKA,5,0)</f>
        <v xml:space="preserve">SAC 134961 </v>
      </c>
      <c r="G27" s="67" t="str">
        <f>VLOOKUP(B27,STARTOVKA,6,0)</f>
        <v>JUNIOR*</v>
      </c>
      <c r="H27" s="67" t="str">
        <f>VLOOKUP(B27,STARTOVKA,7,0)</f>
        <v>SCW</v>
      </c>
      <c r="I27" s="68">
        <v>7.8437500000000007E-2</v>
      </c>
      <c r="J27" s="31">
        <f>I27-$I$12</f>
        <v>1.516203703703714E-3</v>
      </c>
      <c r="K27" s="31">
        <f>M27+N27</f>
        <v>0</v>
      </c>
      <c r="M27" s="31"/>
      <c r="N27" s="31"/>
      <c r="O27" s="31">
        <f>VLOOKUP(B27,AFTER2,8,0)</f>
        <v>8.5913078703703696E-2</v>
      </c>
      <c r="P27" s="150">
        <f t="shared" si="1"/>
        <v>0.1643505787037037</v>
      </c>
      <c r="R27" s="158">
        <v>13</v>
      </c>
      <c r="S27" s="159">
        <v>16</v>
      </c>
      <c r="T27" s="157">
        <f t="shared" si="0"/>
        <v>13</v>
      </c>
      <c r="U27" s="160">
        <v>1</v>
      </c>
      <c r="V27" s="161">
        <v>17</v>
      </c>
      <c r="W27" s="157">
        <f>SUMIF(T:T,V:V,U:U)</f>
        <v>1</v>
      </c>
    </row>
    <row r="28" spans="1:23" s="69" customFormat="1" ht="13.7" customHeight="1" x14ac:dyDescent="0.25">
      <c r="A28" s="53">
        <v>17</v>
      </c>
      <c r="B28" s="99">
        <v>161</v>
      </c>
      <c r="C28" s="63" t="str">
        <f>VLOOKUP(B28,STARTOVKA,2,0)</f>
        <v>RUS19970210</v>
      </c>
      <c r="D28" s="64" t="str">
        <f>VLOOKUP(B28,STARTOVKA,3,0)</f>
        <v>GRISHIN Maksim</v>
      </c>
      <c r="E28" s="65" t="str">
        <f>VLOOKUP(B28,STARTOVKA,4,0)</f>
        <v>RUSSIAN CYCLING FEDERATION</v>
      </c>
      <c r="F28" s="66" t="str">
        <f>VLOOKUP(B28,STARTOVKA,5,0)</f>
        <v>B0280</v>
      </c>
      <c r="G28" s="67" t="str">
        <f>VLOOKUP(B28,STARTOVKA,6,0)</f>
        <v>JUNIOR*</v>
      </c>
      <c r="H28" s="67" t="str">
        <f>VLOOKUP(B28,STARTOVKA,7,0)</f>
        <v>RUS</v>
      </c>
      <c r="I28" s="68">
        <v>7.8437500000000007E-2</v>
      </c>
      <c r="J28" s="31">
        <f>I28-$I$12</f>
        <v>1.516203703703714E-3</v>
      </c>
      <c r="K28" s="31">
        <f>M28+N28</f>
        <v>0</v>
      </c>
      <c r="M28" s="31"/>
      <c r="N28" s="31"/>
      <c r="O28" s="31">
        <f>VLOOKUP(B28,AFTER2,8,0)</f>
        <v>8.5528229166666692E-2</v>
      </c>
      <c r="P28" s="150">
        <f t="shared" si="1"/>
        <v>0.16396572916666668</v>
      </c>
      <c r="R28" s="158">
        <v>161</v>
      </c>
      <c r="S28" s="159">
        <v>17</v>
      </c>
      <c r="T28" s="157">
        <f t="shared" si="0"/>
        <v>161</v>
      </c>
      <c r="U28" s="160">
        <v>1</v>
      </c>
      <c r="V28" s="161">
        <v>18</v>
      </c>
      <c r="W28" s="157">
        <f>SUMIF(T:T,V:V,U:U)</f>
        <v>1</v>
      </c>
    </row>
    <row r="29" spans="1:23" s="69" customFormat="1" ht="13.7" customHeight="1" x14ac:dyDescent="0.25">
      <c r="A29" s="53">
        <v>18</v>
      </c>
      <c r="B29" s="99">
        <v>166</v>
      </c>
      <c r="C29" s="63" t="str">
        <f>VLOOKUP(B29,STARTOVKA,2,0)</f>
        <v>RUS19960101</v>
      </c>
      <c r="D29" s="64" t="str">
        <f>VLOOKUP(B29,STARTOVKA,3,0)</f>
        <v xml:space="preserve">BEZDENEZHNYKH Vadim </v>
      </c>
      <c r="E29" s="65" t="str">
        <f>VLOOKUP(B29,STARTOVKA,4,0)</f>
        <v>RUSSIAN CYCLING FEDERATION</v>
      </c>
      <c r="F29" s="66" t="str">
        <f>VLOOKUP(B29,STARTOVKA,5,0)</f>
        <v>B0271</v>
      </c>
      <c r="G29" s="67" t="str">
        <f>VLOOKUP(B29,STARTOVKA,6,0)</f>
        <v>JUNIOR</v>
      </c>
      <c r="H29" s="67" t="str">
        <f>VLOOKUP(B29,STARTOVKA,7,0)</f>
        <v>RUS</v>
      </c>
      <c r="I29" s="68">
        <v>7.8437500000000007E-2</v>
      </c>
      <c r="J29" s="31">
        <f>I29-$I$12</f>
        <v>1.516203703703714E-3</v>
      </c>
      <c r="K29" s="31">
        <f>M29+N29</f>
        <v>0</v>
      </c>
      <c r="M29" s="31"/>
      <c r="N29" s="31"/>
      <c r="O29" s="31">
        <f>VLOOKUP(B29,AFTER2,8,0)</f>
        <v>8.5265381944444413E-2</v>
      </c>
      <c r="P29" s="150">
        <f t="shared" si="1"/>
        <v>0.16370288194444443</v>
      </c>
      <c r="R29" s="158">
        <v>166</v>
      </c>
      <c r="S29" s="159">
        <v>18</v>
      </c>
      <c r="T29" s="157">
        <f t="shared" si="0"/>
        <v>166</v>
      </c>
      <c r="U29" s="160">
        <v>1</v>
      </c>
      <c r="V29" s="161">
        <v>21</v>
      </c>
      <c r="W29" s="157">
        <f>SUMIF(T:T,V:V,U:U)</f>
        <v>1</v>
      </c>
    </row>
    <row r="30" spans="1:23" s="69" customFormat="1" ht="13.7" customHeight="1" x14ac:dyDescent="0.25">
      <c r="A30" s="53">
        <v>19</v>
      </c>
      <c r="B30" s="99">
        <v>171</v>
      </c>
      <c r="C30" s="63" t="str">
        <f>VLOOKUP(B30,STARTOVKA,2,0)</f>
        <v>SVK19970301</v>
      </c>
      <c r="D30" s="64" t="str">
        <f>VLOOKUP(B30,STARTOVKA,3,0)</f>
        <v>KNIHA Ladislav</v>
      </c>
      <c r="E30" s="65" t="str">
        <f>VLOOKUP(B30,STARTOVKA,4,0)</f>
        <v xml:space="preserve">SLOVAK CYCLING FEDERATION </v>
      </c>
      <c r="F30" s="66">
        <f>VLOOKUP(B30,STARTOVKA,5,0)</f>
        <v>6788</v>
      </c>
      <c r="G30" s="67" t="str">
        <f>VLOOKUP(B30,STARTOVKA,6,0)</f>
        <v>JUNIOR*</v>
      </c>
      <c r="H30" s="67" t="str">
        <f>VLOOKUP(B30,STARTOVKA,7,0)</f>
        <v>SVK</v>
      </c>
      <c r="I30" s="68">
        <v>7.8437500000000007E-2</v>
      </c>
      <c r="J30" s="31">
        <f>I30-$I$12</f>
        <v>1.516203703703714E-3</v>
      </c>
      <c r="K30" s="31">
        <f>M30+N30</f>
        <v>0</v>
      </c>
      <c r="M30" s="31"/>
      <c r="N30" s="31"/>
      <c r="O30" s="31">
        <f>VLOOKUP(B30,AFTER2,8,0)</f>
        <v>8.5670115740740779E-2</v>
      </c>
      <c r="P30" s="150">
        <f t="shared" si="1"/>
        <v>0.16410761574074079</v>
      </c>
      <c r="R30" s="158">
        <v>171</v>
      </c>
      <c r="S30" s="159">
        <v>19</v>
      </c>
      <c r="T30" s="157">
        <f t="shared" si="0"/>
        <v>171</v>
      </c>
      <c r="U30" s="160">
        <v>1</v>
      </c>
      <c r="V30" s="161">
        <v>22</v>
      </c>
      <c r="W30" s="157">
        <f>SUMIF(T:T,V:V,U:U)</f>
        <v>1</v>
      </c>
    </row>
    <row r="31" spans="1:23" s="69" customFormat="1" ht="13.7" customHeight="1" x14ac:dyDescent="0.25">
      <c r="A31" s="53">
        <v>20</v>
      </c>
      <c r="B31" s="99">
        <v>84</v>
      </c>
      <c r="C31" s="63" t="str">
        <f>VLOOKUP(B31,STARTOVKA,2,0)</f>
        <v>BEL19970116</v>
      </c>
      <c r="D31" s="64" t="str">
        <f>VLOOKUP(B31,STARTOVKA,3,0)</f>
        <v>PENNINCK Jens</v>
      </c>
      <c r="E31" s="65" t="str">
        <f>VLOOKUP(B31,STARTOVKA,4,0)</f>
        <v>VZW TIELTSE RENNERSCLUB - JIELKER GELDHOF</v>
      </c>
      <c r="F31" s="66">
        <f>VLOOKUP(B31,STARTOVKA,5,0)</f>
        <v>35143</v>
      </c>
      <c r="G31" s="67" t="str">
        <f>VLOOKUP(B31,STARTOVKA,6,0)</f>
        <v>JUNIOR*</v>
      </c>
      <c r="H31" s="67" t="str">
        <f>VLOOKUP(B31,STARTOVKA,7,0)</f>
        <v>KOV</v>
      </c>
      <c r="I31" s="68">
        <v>7.8437500000000007E-2</v>
      </c>
      <c r="J31" s="31">
        <f>I31-$I$12</f>
        <v>1.516203703703714E-3</v>
      </c>
      <c r="K31" s="31">
        <f>M31+N31</f>
        <v>0</v>
      </c>
      <c r="M31" s="31"/>
      <c r="N31" s="31"/>
      <c r="O31" s="31">
        <f>VLOOKUP(B31,AFTER2,8,0)</f>
        <v>8.6070972222222222E-2</v>
      </c>
      <c r="P31" s="150">
        <f t="shared" si="1"/>
        <v>0.16450847222222223</v>
      </c>
      <c r="R31" s="158">
        <v>84</v>
      </c>
      <c r="S31" s="159">
        <v>20</v>
      </c>
      <c r="T31" s="157">
        <f t="shared" si="0"/>
        <v>84</v>
      </c>
      <c r="U31" s="160">
        <v>1</v>
      </c>
      <c r="V31" s="161">
        <v>23</v>
      </c>
      <c r="W31" s="157">
        <f>SUMIF(T:T,V:V,U:U)</f>
        <v>1</v>
      </c>
    </row>
    <row r="32" spans="1:23" s="69" customFormat="1" ht="13.7" customHeight="1" x14ac:dyDescent="0.25">
      <c r="A32" s="53">
        <v>21</v>
      </c>
      <c r="B32" s="99">
        <v>4</v>
      </c>
      <c r="C32" s="63" t="str">
        <f>VLOOKUP(B32,STARTOVKA,2,0)</f>
        <v>GER19960212</v>
      </c>
      <c r="D32" s="64" t="str">
        <f>VLOOKUP(B32,STARTOVKA,3,0)</f>
        <v>SCHUBERT Erik</v>
      </c>
      <c r="E32" s="65" t="str">
        <f>VLOOKUP(B32,STARTOVKA,4,0)</f>
        <v>RV ELXLEBEN</v>
      </c>
      <c r="F32" s="66" t="str">
        <f>VLOOKUP(B32,STARTOVKA,5,0)</f>
        <v>THÜ170276</v>
      </c>
      <c r="G32" s="67" t="str">
        <f>VLOOKUP(B32,STARTOVKA,6,0)</f>
        <v>JUNIOR</v>
      </c>
      <c r="H32" s="67" t="str">
        <f>VLOOKUP(B32,STARTOVKA,7,0)</f>
        <v>TUR</v>
      </c>
      <c r="I32" s="68">
        <v>7.8437500000000007E-2</v>
      </c>
      <c r="J32" s="31">
        <f>I32-$I$12</f>
        <v>1.516203703703714E-3</v>
      </c>
      <c r="K32" s="31">
        <f>M32+N32</f>
        <v>0</v>
      </c>
      <c r="M32" s="31"/>
      <c r="N32" s="31"/>
      <c r="O32" s="31">
        <f>VLOOKUP(B32,AFTER2,8,0)</f>
        <v>8.5304942129629593E-2</v>
      </c>
      <c r="P32" s="150">
        <f t="shared" si="1"/>
        <v>0.1637424421296296</v>
      </c>
      <c r="R32" s="158">
        <v>4</v>
      </c>
      <c r="S32" s="159">
        <v>21</v>
      </c>
      <c r="T32" s="157">
        <f t="shared" si="0"/>
        <v>4</v>
      </c>
      <c r="U32" s="160">
        <v>1</v>
      </c>
      <c r="V32" s="161">
        <v>24</v>
      </c>
      <c r="W32" s="157">
        <f>SUMIF(T:T,V:V,U:U)</f>
        <v>1</v>
      </c>
    </row>
    <row r="33" spans="1:23" s="69" customFormat="1" ht="13.7" customHeight="1" x14ac:dyDescent="0.25">
      <c r="A33" s="53">
        <v>22</v>
      </c>
      <c r="B33" s="99">
        <v>85</v>
      </c>
      <c r="C33" s="63" t="str">
        <f>VLOOKUP(B33,STARTOVKA,2,0)</f>
        <v>CZE19970804</v>
      </c>
      <c r="D33" s="64" t="str">
        <f>VLOOKUP(B33,STARTOVKA,3,0)</f>
        <v xml:space="preserve">SPUDIL Martin </v>
      </c>
      <c r="E33" s="65" t="str">
        <f>VLOOKUP(B33,STARTOVKA,4,0)</f>
        <v xml:space="preserve">SP KOLO LOAP SPECIALIZED </v>
      </c>
      <c r="F33" s="66">
        <f>VLOOKUP(B33,STARTOVKA,5,0)</f>
        <v>10880</v>
      </c>
      <c r="G33" s="67" t="str">
        <f>VLOOKUP(B33,STARTOVKA,6,0)</f>
        <v>JUNIOR*</v>
      </c>
      <c r="H33" s="67" t="str">
        <f>VLOOKUP(B33,STARTOVKA,7,0)</f>
        <v>KOV</v>
      </c>
      <c r="I33" s="68">
        <v>7.8437500000000007E-2</v>
      </c>
      <c r="J33" s="31">
        <f>I33-$I$12</f>
        <v>1.516203703703714E-3</v>
      </c>
      <c r="K33" s="31">
        <f>M33+N33</f>
        <v>0</v>
      </c>
      <c r="M33" s="31"/>
      <c r="N33" s="31"/>
      <c r="O33" s="31">
        <f>VLOOKUP(B33,AFTER2,8,0)</f>
        <v>8.5961898148148155E-2</v>
      </c>
      <c r="P33" s="150">
        <f t="shared" si="1"/>
        <v>0.16439939814814816</v>
      </c>
      <c r="R33" s="158">
        <v>85</v>
      </c>
      <c r="S33" s="159">
        <v>22</v>
      </c>
      <c r="T33" s="157">
        <f t="shared" si="0"/>
        <v>85</v>
      </c>
      <c r="U33" s="160">
        <v>1</v>
      </c>
      <c r="V33" s="161">
        <v>31</v>
      </c>
      <c r="W33" s="157">
        <f>SUMIF(T:T,V:V,U:U)</f>
        <v>1</v>
      </c>
    </row>
    <row r="34" spans="1:23" s="69" customFormat="1" ht="13.7" customHeight="1" x14ac:dyDescent="0.25">
      <c r="A34" s="53">
        <v>23</v>
      </c>
      <c r="B34" s="99">
        <v>164</v>
      </c>
      <c r="C34" s="63" t="str">
        <f>VLOOKUP(B34,STARTOVKA,2,0)</f>
        <v>RUS19970224</v>
      </c>
      <c r="D34" s="64" t="str">
        <f>VLOOKUP(B34,STARTOVKA,3,0)</f>
        <v>RIKUNOV Petr</v>
      </c>
      <c r="E34" s="65" t="str">
        <f>VLOOKUP(B34,STARTOVKA,4,0)</f>
        <v>RUSSIAN CYCLING FEDERATION</v>
      </c>
      <c r="F34" s="66" t="str">
        <f>VLOOKUP(B34,STARTOVKA,5,0)</f>
        <v>B0273</v>
      </c>
      <c r="G34" s="67" t="str">
        <f>VLOOKUP(B34,STARTOVKA,6,0)</f>
        <v>JUNIOR*</v>
      </c>
      <c r="H34" s="67" t="str">
        <f>VLOOKUP(B34,STARTOVKA,7,0)</f>
        <v>RUS</v>
      </c>
      <c r="I34" s="68">
        <v>7.8437500000000007E-2</v>
      </c>
      <c r="J34" s="31">
        <f>I34-$I$12</f>
        <v>1.516203703703714E-3</v>
      </c>
      <c r="K34" s="31">
        <f>M34+N34</f>
        <v>0</v>
      </c>
      <c r="M34" s="31"/>
      <c r="N34" s="31"/>
      <c r="O34" s="31">
        <f>VLOOKUP(B34,AFTER2,8,0)</f>
        <v>8.5282511574074071E-2</v>
      </c>
      <c r="P34" s="150">
        <f t="shared" si="1"/>
        <v>0.16372001157407406</v>
      </c>
      <c r="R34" s="158">
        <v>164</v>
      </c>
      <c r="S34" s="159">
        <v>23</v>
      </c>
      <c r="T34" s="157">
        <f t="shared" si="0"/>
        <v>164</v>
      </c>
      <c r="U34" s="160">
        <v>1</v>
      </c>
      <c r="V34" s="161">
        <v>34</v>
      </c>
      <c r="W34" s="157">
        <f>SUMIF(T:T,V:V,U:U)</f>
        <v>1</v>
      </c>
    </row>
    <row r="35" spans="1:23" s="69" customFormat="1" ht="13.7" customHeight="1" x14ac:dyDescent="0.25">
      <c r="A35" s="53">
        <v>24</v>
      </c>
      <c r="B35" s="99">
        <v>34</v>
      </c>
      <c r="C35" s="63" t="str">
        <f>VLOOKUP(B35,STARTOVKA,2,0)</f>
        <v>CZE19960513</v>
      </c>
      <c r="D35" s="64" t="str">
        <f>VLOOKUP(B35,STARTOVKA,3,0)</f>
        <v xml:space="preserve">SCHUBERT Štěpán </v>
      </c>
      <c r="E35" s="65" t="str">
        <f>VLOOKUP(B35,STARTOVKA,4,0)</f>
        <v xml:space="preserve">REMERX MERIDA TEAM JUNIOR </v>
      </c>
      <c r="F35" s="66">
        <f>VLOOKUP(B35,STARTOVKA,5,0)</f>
        <v>19574</v>
      </c>
      <c r="G35" s="67" t="str">
        <f>VLOOKUP(B35,STARTOVKA,6,0)</f>
        <v>JUNIOR</v>
      </c>
      <c r="H35" s="67" t="str">
        <f>VLOOKUP(B35,STARTOVKA,7,0)</f>
        <v>REM</v>
      </c>
      <c r="I35" s="68">
        <v>7.8437500000000007E-2</v>
      </c>
      <c r="J35" s="31">
        <f>I35-$I$12</f>
        <v>1.516203703703714E-3</v>
      </c>
      <c r="K35" s="31">
        <f>M35+N35</f>
        <v>0</v>
      </c>
      <c r="M35" s="31"/>
      <c r="N35" s="31"/>
      <c r="O35" s="31">
        <f>VLOOKUP(B35,AFTER2,8,0)</f>
        <v>8.5712048611111077E-2</v>
      </c>
      <c r="P35" s="150">
        <f t="shared" si="1"/>
        <v>0.16414954861111108</v>
      </c>
      <c r="R35" s="158">
        <v>34</v>
      </c>
      <c r="S35" s="159">
        <v>24</v>
      </c>
      <c r="T35" s="157">
        <f t="shared" si="0"/>
        <v>34</v>
      </c>
      <c r="U35" s="160">
        <v>1</v>
      </c>
      <c r="V35" s="161">
        <v>35</v>
      </c>
      <c r="W35" s="157">
        <f>SUMIF(T:T,V:V,U:U)</f>
        <v>1</v>
      </c>
    </row>
    <row r="36" spans="1:23" s="69" customFormat="1" ht="13.7" customHeight="1" x14ac:dyDescent="0.25">
      <c r="A36" s="53">
        <v>25</v>
      </c>
      <c r="B36" s="99">
        <v>2</v>
      </c>
      <c r="C36" s="63" t="str">
        <f>VLOOKUP(B36,STARTOVKA,2,0)</f>
        <v>GER19960829</v>
      </c>
      <c r="D36" s="64" t="str">
        <f>VLOOKUP(B36,STARTOVKA,3,0)</f>
        <v>SCHUCHMANN Franz-Leon</v>
      </c>
      <c r="E36" s="65" t="str">
        <f>VLOOKUP(B36,STARTOVKA,4,0)</f>
        <v>RSV SONNEBERG</v>
      </c>
      <c r="F36" s="66" t="str">
        <f>VLOOKUP(B36,STARTOVKA,5,0)</f>
        <v>THÜ173330</v>
      </c>
      <c r="G36" s="67" t="str">
        <f>VLOOKUP(B36,STARTOVKA,6,0)</f>
        <v>JUNIOR</v>
      </c>
      <c r="H36" s="67" t="str">
        <f>VLOOKUP(B36,STARTOVKA,7,0)</f>
        <v>TUR</v>
      </c>
      <c r="I36" s="68">
        <v>7.8437500000000007E-2</v>
      </c>
      <c r="J36" s="31">
        <f>I36-$I$12</f>
        <v>1.516203703703714E-3</v>
      </c>
      <c r="K36" s="31">
        <f>M36+N36</f>
        <v>0</v>
      </c>
      <c r="M36" s="31"/>
      <c r="N36" s="31"/>
      <c r="O36" s="31">
        <f>VLOOKUP(B36,AFTER2,8,0)</f>
        <v>8.5025474537037002E-2</v>
      </c>
      <c r="P36" s="150">
        <f t="shared" si="1"/>
        <v>0.16346297453703701</v>
      </c>
      <c r="R36" s="158">
        <v>2</v>
      </c>
      <c r="S36" s="159">
        <v>25</v>
      </c>
      <c r="T36" s="157">
        <f t="shared" si="0"/>
        <v>2</v>
      </c>
      <c r="U36" s="160">
        <v>1</v>
      </c>
      <c r="V36" s="161">
        <v>41</v>
      </c>
      <c r="W36" s="157">
        <f>SUMIF(T:T,V:V,U:U)</f>
        <v>1</v>
      </c>
    </row>
    <row r="37" spans="1:23" s="69" customFormat="1" ht="13.7" customHeight="1" x14ac:dyDescent="0.25">
      <c r="A37" s="53">
        <v>26</v>
      </c>
      <c r="B37" s="99">
        <v>97</v>
      </c>
      <c r="C37" s="63" t="str">
        <f>VLOOKUP(B37,STARTOVKA,2,0)</f>
        <v>SVK19961022</v>
      </c>
      <c r="D37" s="64" t="str">
        <f>VLOOKUP(B37,STARTOVKA,3,0)</f>
        <v xml:space="preserve">STRMISKA Andrej </v>
      </c>
      <c r="E37" s="65" t="str">
        <f>VLOOKUP(B37,STARTOVKA,4,0)</f>
        <v xml:space="preserve">TJ FAVORIT BRNO </v>
      </c>
      <c r="F37" s="66">
        <f>VLOOKUP(B37,STARTOVKA,5,0)</f>
        <v>6009</v>
      </c>
      <c r="G37" s="67" t="str">
        <f>VLOOKUP(B37,STARTOVKA,6,0)</f>
        <v>JUNIOR</v>
      </c>
      <c r="H37" s="67" t="str">
        <f>VLOOKUP(B37,STARTOVKA,7,0)</f>
        <v>FAV</v>
      </c>
      <c r="I37" s="68">
        <v>7.8437500000000007E-2</v>
      </c>
      <c r="J37" s="31">
        <f>I37-$I$12</f>
        <v>1.516203703703714E-3</v>
      </c>
      <c r="K37" s="31">
        <f>M37+N37</f>
        <v>0</v>
      </c>
      <c r="M37" s="31"/>
      <c r="N37" s="31"/>
      <c r="O37" s="31">
        <f>VLOOKUP(B37,AFTER2,8,0)</f>
        <v>8.5521562499999954E-2</v>
      </c>
      <c r="P37" s="150">
        <f t="shared" si="1"/>
        <v>0.16395906249999997</v>
      </c>
      <c r="R37" s="158">
        <v>97</v>
      </c>
      <c r="S37" s="159">
        <v>26</v>
      </c>
      <c r="T37" s="157">
        <f t="shared" si="0"/>
        <v>97</v>
      </c>
      <c r="U37" s="160">
        <v>1</v>
      </c>
      <c r="V37" s="161">
        <v>42</v>
      </c>
      <c r="W37" s="157">
        <f>SUMIF(T:T,V:V,U:U)</f>
        <v>1</v>
      </c>
    </row>
    <row r="38" spans="1:23" s="69" customFormat="1" ht="13.7" customHeight="1" x14ac:dyDescent="0.25">
      <c r="A38" s="53">
        <v>27</v>
      </c>
      <c r="B38" s="221">
        <v>132</v>
      </c>
      <c r="C38" s="63" t="str">
        <f>VLOOKUP(B38,STARTOVKA,2,0)</f>
        <v>AUT19961021</v>
      </c>
      <c r="D38" s="64" t="str">
        <f>VLOOKUP(B38,STARTOVKA,3,0)</f>
        <v>KNAPP Daniel</v>
      </c>
      <c r="E38" s="65" t="str">
        <f>VLOOKUP(B38,STARTOVKA,4,0)</f>
        <v>UNION RAIFFEISEN RADTEAM TIROL</v>
      </c>
      <c r="F38" s="66">
        <f>VLOOKUP(B38,STARTOVKA,5,0)</f>
        <v>100480</v>
      </c>
      <c r="G38" s="67" t="str">
        <f>VLOOKUP(B38,STARTOVKA,6,0)</f>
        <v>JUNIOR</v>
      </c>
      <c r="H38" s="67" t="str">
        <f>VLOOKUP(B38,STARTOVKA,7,0)</f>
        <v>RCA</v>
      </c>
      <c r="I38" s="68">
        <v>7.8437500000000007E-2</v>
      </c>
      <c r="J38" s="31">
        <f>I38-$I$12</f>
        <v>1.516203703703714E-3</v>
      </c>
      <c r="K38" s="31">
        <f>M38+N38</f>
        <v>0</v>
      </c>
      <c r="M38" s="31"/>
      <c r="N38" s="31"/>
      <c r="O38" s="31">
        <f>VLOOKUP(B38,AFTER2,8,0)</f>
        <v>8.5770462962962937E-2</v>
      </c>
      <c r="P38" s="150">
        <f t="shared" si="1"/>
        <v>0.16420796296296294</v>
      </c>
      <c r="R38" s="158">
        <v>132</v>
      </c>
      <c r="S38" s="159">
        <v>27</v>
      </c>
      <c r="T38" s="157">
        <f t="shared" si="0"/>
        <v>132</v>
      </c>
      <c r="U38" s="160">
        <v>1</v>
      </c>
      <c r="V38" s="161">
        <v>43</v>
      </c>
      <c r="W38" s="157">
        <f>SUMIF(T:T,V:V,U:U)</f>
        <v>1</v>
      </c>
    </row>
    <row r="39" spans="1:23" s="69" customFormat="1" ht="13.7" customHeight="1" x14ac:dyDescent="0.25">
      <c r="A39" s="53">
        <v>28</v>
      </c>
      <c r="B39" s="99">
        <v>21</v>
      </c>
      <c r="C39" s="63" t="str">
        <f>VLOOKUP(B39,STARTOVKA,2,0)</f>
        <v>GER19960322</v>
      </c>
      <c r="D39" s="64" t="str">
        <f>VLOOKUP(B39,STARTOVKA,3,0)</f>
        <v>DICKEL Jorge</v>
      </c>
      <c r="E39" s="65" t="str">
        <f>VLOOKUP(B39,STARTOVKA,4,0)</f>
        <v>RG BERLIN</v>
      </c>
      <c r="F39" s="66" t="str">
        <f>VLOOKUP(B39,STARTOVKA,5,0)</f>
        <v>03.15928.12</v>
      </c>
      <c r="G39" s="67" t="str">
        <f>VLOOKUP(B39,STARTOVKA,6,0)</f>
        <v>JUNIOR</v>
      </c>
      <c r="H39" s="67" t="str">
        <f>VLOOKUP(B39,STARTOVKA,7,0)</f>
        <v>RGB</v>
      </c>
      <c r="I39" s="68">
        <v>7.8437500000000007E-2</v>
      </c>
      <c r="J39" s="31">
        <f>I39-$I$12</f>
        <v>1.516203703703714E-3</v>
      </c>
      <c r="K39" s="31">
        <f>M39+N39</f>
        <v>0</v>
      </c>
      <c r="M39" s="31"/>
      <c r="N39" s="31"/>
      <c r="O39" s="31">
        <f>VLOOKUP(B39,AFTER2,8,0)</f>
        <v>8.5286643518518543E-2</v>
      </c>
      <c r="P39" s="150">
        <f t="shared" si="1"/>
        <v>0.16372414351851855</v>
      </c>
      <c r="R39" s="158">
        <v>21</v>
      </c>
      <c r="S39" s="159">
        <v>28</v>
      </c>
      <c r="T39" s="157">
        <f t="shared" si="0"/>
        <v>21</v>
      </c>
      <c r="U39" s="160">
        <v>1</v>
      </c>
      <c r="V39" s="161">
        <v>44</v>
      </c>
      <c r="W39" s="157">
        <f>SUMIF(T:T,V:V,U:U)</f>
        <v>1</v>
      </c>
    </row>
    <row r="40" spans="1:23" s="69" customFormat="1" ht="13.7" customHeight="1" x14ac:dyDescent="0.25">
      <c r="A40" s="53">
        <v>29</v>
      </c>
      <c r="B40" s="99">
        <v>187</v>
      </c>
      <c r="C40" s="63" t="str">
        <f>VLOOKUP(B40,STARTOVKA,2,0)</f>
        <v>AUT19970913</v>
      </c>
      <c r="D40" s="64" t="str">
        <f>VLOOKUP(B40,STARTOVKA,3,0)</f>
        <v>DALLINGER Christian</v>
      </c>
      <c r="E40" s="65" t="str">
        <f>VLOOKUP(B40,STARTOVKA,4,0)</f>
        <v xml:space="preserve">LRV STEIERMARK </v>
      </c>
      <c r="F40" s="66">
        <f>VLOOKUP(B40,STARTOVKA,5,0)</f>
        <v>100350</v>
      </c>
      <c r="G40" s="67" t="str">
        <f>VLOOKUP(B40,STARTOVKA,6,0)</f>
        <v>JUNIOR*</v>
      </c>
      <c r="H40" s="67" t="str">
        <f>VLOOKUP(B40,STARTOVKA,7,0)</f>
        <v>LRV</v>
      </c>
      <c r="I40" s="68">
        <v>7.8437500000000007E-2</v>
      </c>
      <c r="J40" s="31">
        <f>I40-$I$12</f>
        <v>1.516203703703714E-3</v>
      </c>
      <c r="K40" s="31">
        <f>M40+N40</f>
        <v>0</v>
      </c>
      <c r="M40" s="31"/>
      <c r="N40" s="31"/>
      <c r="O40" s="31">
        <f>VLOOKUP(B40,AFTER2,8,0)</f>
        <v>8.5640810185185157E-2</v>
      </c>
      <c r="P40" s="150">
        <f t="shared" si="1"/>
        <v>0.16407831018518515</v>
      </c>
      <c r="R40" s="158">
        <v>187</v>
      </c>
      <c r="S40" s="159">
        <v>29</v>
      </c>
      <c r="T40" s="157">
        <f t="shared" si="0"/>
        <v>187</v>
      </c>
      <c r="U40" s="160">
        <v>1</v>
      </c>
      <c r="V40" s="161">
        <v>45</v>
      </c>
      <c r="W40" s="157">
        <f>SUMIF(T:T,V:V,U:U)</f>
        <v>1</v>
      </c>
    </row>
    <row r="41" spans="1:23" s="69" customFormat="1" ht="13.7" customHeight="1" x14ac:dyDescent="0.25">
      <c r="A41" s="53">
        <v>30</v>
      </c>
      <c r="B41" s="99">
        <v>83</v>
      </c>
      <c r="C41" s="63" t="str">
        <f>VLOOKUP(B41,STARTOVKA,2,0)</f>
        <v>CZE19960724</v>
      </c>
      <c r="D41" s="64" t="str">
        <f>VLOOKUP(B41,STARTOVKA,3,0)</f>
        <v xml:space="preserve">BECHYNĚ Matěj </v>
      </c>
      <c r="E41" s="65" t="str">
        <f>VLOOKUP(B41,STARTOVKA,4,0)</f>
        <v>VZW TIELTSE RENNERSCLUB - JIELKER GELDHOF</v>
      </c>
      <c r="F41" s="66">
        <f>VLOOKUP(B41,STARTOVKA,5,0)</f>
        <v>14315</v>
      </c>
      <c r="G41" s="67" t="str">
        <f>VLOOKUP(B41,STARTOVKA,6,0)</f>
        <v>JUNIOR</v>
      </c>
      <c r="H41" s="67" t="str">
        <f>VLOOKUP(B41,STARTOVKA,7,0)</f>
        <v>KOV</v>
      </c>
      <c r="I41" s="68">
        <v>7.8437500000000007E-2</v>
      </c>
      <c r="J41" s="31">
        <f>I41-$I$12</f>
        <v>1.516203703703714E-3</v>
      </c>
      <c r="K41" s="31">
        <f>M41+N41</f>
        <v>0</v>
      </c>
      <c r="M41" s="31"/>
      <c r="N41" s="31"/>
      <c r="O41" s="31">
        <f>VLOOKUP(B41,AFTER2,8,0)</f>
        <v>8.6208819444444432E-2</v>
      </c>
      <c r="P41" s="150">
        <f t="shared" si="1"/>
        <v>0.16464631944444444</v>
      </c>
      <c r="R41" s="158">
        <v>83</v>
      </c>
      <c r="S41" s="159">
        <v>30</v>
      </c>
      <c r="T41" s="157">
        <f t="shared" si="0"/>
        <v>83</v>
      </c>
      <c r="U41" s="160">
        <v>1</v>
      </c>
      <c r="V41" s="161">
        <v>46</v>
      </c>
      <c r="W41" s="157">
        <f>SUMIF(T:T,V:V,U:U)</f>
        <v>1</v>
      </c>
    </row>
    <row r="42" spans="1:23" s="69" customFormat="1" ht="13.7" customHeight="1" x14ac:dyDescent="0.25">
      <c r="A42" s="53">
        <v>31</v>
      </c>
      <c r="B42" s="99">
        <v>106</v>
      </c>
      <c r="C42" s="63" t="str">
        <f>VLOOKUP(B42,STARTOVKA,2,0)</f>
        <v>CZE19970109</v>
      </c>
      <c r="D42" s="64" t="str">
        <f>VLOOKUP(B42,STARTOVKA,3,0)</f>
        <v xml:space="preserve">SVATEK Miroslav </v>
      </c>
      <c r="E42" s="65" t="str">
        <f>VLOOKUP(B42,STARTOVKA,4,0)</f>
        <v xml:space="preserve">PROFI SPORT CHEB </v>
      </c>
      <c r="F42" s="66">
        <f>VLOOKUP(B42,STARTOVKA,5,0)</f>
        <v>9623</v>
      </c>
      <c r="G42" s="67" t="str">
        <f>VLOOKUP(B42,STARTOVKA,6,0)</f>
        <v>JUNIOR*</v>
      </c>
      <c r="H42" s="67" t="str">
        <f>VLOOKUP(B42,STARTOVKA,7,0)</f>
        <v>LOU</v>
      </c>
      <c r="I42" s="68">
        <v>7.8437500000000007E-2</v>
      </c>
      <c r="J42" s="31">
        <f>I42-$I$12</f>
        <v>1.516203703703714E-3</v>
      </c>
      <c r="K42" s="31">
        <f>M42+N42</f>
        <v>0</v>
      </c>
      <c r="M42" s="31"/>
      <c r="N42" s="31"/>
      <c r="O42" s="31">
        <f>VLOOKUP(B42,AFTER2,8,0)</f>
        <v>8.5807847222222219E-2</v>
      </c>
      <c r="P42" s="150">
        <f t="shared" si="1"/>
        <v>0.16424534722222223</v>
      </c>
      <c r="R42" s="158">
        <v>106</v>
      </c>
      <c r="S42" s="159">
        <v>31</v>
      </c>
      <c r="T42" s="157">
        <f t="shared" si="0"/>
        <v>106</v>
      </c>
      <c r="U42" s="160">
        <v>1</v>
      </c>
      <c r="V42" s="161">
        <v>47</v>
      </c>
      <c r="W42" s="157">
        <f>SUMIF(T:T,V:V,U:U)</f>
        <v>1</v>
      </c>
    </row>
    <row r="43" spans="1:23" s="69" customFormat="1" ht="13.7" customHeight="1" x14ac:dyDescent="0.25">
      <c r="A43" s="53">
        <v>32</v>
      </c>
      <c r="B43" s="99">
        <v>181</v>
      </c>
      <c r="C43" s="63" t="str">
        <f>VLOOKUP(B43,STARTOVKA,2,0)</f>
        <v>AUT19960516</v>
      </c>
      <c r="D43" s="64" t="str">
        <f>VLOOKUP(B43,STARTOVKA,3,0)</f>
        <v>DYCZEK Felix</v>
      </c>
      <c r="E43" s="65" t="str">
        <f>VLOOKUP(B43,STARTOVKA,4,0)</f>
        <v xml:space="preserve">LRV STEIERMARK </v>
      </c>
      <c r="F43" s="66">
        <f>VLOOKUP(B43,STARTOVKA,5,0)</f>
        <v>100824</v>
      </c>
      <c r="G43" s="67" t="str">
        <f>VLOOKUP(B43,STARTOVKA,6,0)</f>
        <v>JUNIOR</v>
      </c>
      <c r="H43" s="67" t="str">
        <f>VLOOKUP(B43,STARTOVKA,7,0)</f>
        <v>LRV</v>
      </c>
      <c r="I43" s="68">
        <v>7.8437500000000007E-2</v>
      </c>
      <c r="J43" s="31">
        <f>I43-$I$12</f>
        <v>1.516203703703714E-3</v>
      </c>
      <c r="K43" s="31">
        <f>M43+N43</f>
        <v>0</v>
      </c>
      <c r="M43" s="31"/>
      <c r="N43" s="31"/>
      <c r="O43" s="31">
        <f>VLOOKUP(B43,AFTER2,8,0)</f>
        <v>8.5573506944444488E-2</v>
      </c>
      <c r="P43" s="150">
        <f t="shared" si="1"/>
        <v>0.16401100694444448</v>
      </c>
      <c r="R43" s="158">
        <v>181</v>
      </c>
      <c r="S43" s="159">
        <v>32</v>
      </c>
      <c r="T43" s="157">
        <f t="shared" si="0"/>
        <v>181</v>
      </c>
      <c r="U43" s="160">
        <v>1</v>
      </c>
      <c r="V43" s="161">
        <v>48</v>
      </c>
      <c r="W43" s="157">
        <f>SUMIF(T:T,V:V,U:U)</f>
        <v>1</v>
      </c>
    </row>
    <row r="44" spans="1:23" s="69" customFormat="1" ht="13.7" customHeight="1" x14ac:dyDescent="0.25">
      <c r="A44" s="53">
        <v>33</v>
      </c>
      <c r="B44" s="99">
        <v>93</v>
      </c>
      <c r="C44" s="63" t="str">
        <f>VLOOKUP(B44,STARTOVKA,2,0)</f>
        <v>CZE19960424</v>
      </c>
      <c r="D44" s="64" t="str">
        <f>VLOOKUP(B44,STARTOVKA,3,0)</f>
        <v xml:space="preserve">GRUBER Pavel </v>
      </c>
      <c r="E44" s="65" t="str">
        <f>VLOOKUP(B44,STARTOVKA,4,0)</f>
        <v xml:space="preserve">TJ FAVORIT BRNO </v>
      </c>
      <c r="F44" s="66">
        <f>VLOOKUP(B44,STARTOVKA,5,0)</f>
        <v>13075</v>
      </c>
      <c r="G44" s="67" t="str">
        <f>VLOOKUP(B44,STARTOVKA,6,0)</f>
        <v>JUNIOR</v>
      </c>
      <c r="H44" s="67" t="str">
        <f>VLOOKUP(B44,STARTOVKA,7,0)</f>
        <v>FAV</v>
      </c>
      <c r="I44" s="68">
        <v>7.8437500000000007E-2</v>
      </c>
      <c r="J44" s="31">
        <f>I44-$I$12</f>
        <v>1.516203703703714E-3</v>
      </c>
      <c r="K44" s="31">
        <f>M44+N44</f>
        <v>0</v>
      </c>
      <c r="M44" s="31"/>
      <c r="N44" s="31"/>
      <c r="O44" s="31">
        <f>VLOOKUP(B44,AFTER2,8,0)</f>
        <v>8.5457743055555521E-2</v>
      </c>
      <c r="P44" s="150">
        <f t="shared" si="1"/>
        <v>0.16389524305555553</v>
      </c>
      <c r="R44" s="158">
        <v>93</v>
      </c>
      <c r="S44" s="159">
        <v>33</v>
      </c>
      <c r="T44" s="157">
        <f t="shared" si="0"/>
        <v>93</v>
      </c>
      <c r="U44" s="160">
        <v>1</v>
      </c>
      <c r="V44" s="161">
        <v>49</v>
      </c>
      <c r="W44" s="157">
        <f>SUMIF(T:T,V:V,U:U)</f>
        <v>1</v>
      </c>
    </row>
    <row r="45" spans="1:23" s="69" customFormat="1" ht="13.7" customHeight="1" x14ac:dyDescent="0.25">
      <c r="A45" s="53">
        <v>34</v>
      </c>
      <c r="B45" s="99">
        <v>49</v>
      </c>
      <c r="C45" s="63" t="str">
        <f>VLOOKUP(B45,STARTOVKA,2,0)</f>
        <v>CZE19960703</v>
      </c>
      <c r="D45" s="64" t="str">
        <f>VLOOKUP(B45,STARTOVKA,3,0)</f>
        <v xml:space="preserve">ŠÍREK Adrian </v>
      </c>
      <c r="E45" s="65" t="str">
        <f>VLOOKUP(B45,STARTOVKA,4,0)</f>
        <v>KC KOOPERATIVA SG JABLONEC N.N</v>
      </c>
      <c r="F45" s="66">
        <f>VLOOKUP(B45,STARTOVKA,5,0)</f>
        <v>12955</v>
      </c>
      <c r="G45" s="67" t="str">
        <f>VLOOKUP(B45,STARTOVKA,6,0)</f>
        <v>JUNIOR</v>
      </c>
      <c r="H45" s="67" t="str">
        <f>VLOOKUP(B45,STARTOVKA,7,0)</f>
        <v>KOO</v>
      </c>
      <c r="I45" s="68">
        <v>7.8437500000000007E-2</v>
      </c>
      <c r="J45" s="31">
        <f>I45-$I$12</f>
        <v>1.516203703703714E-3</v>
      </c>
      <c r="K45" s="31">
        <f>M45+N45</f>
        <v>0</v>
      </c>
      <c r="M45" s="31"/>
      <c r="N45" s="31"/>
      <c r="O45" s="31">
        <f>VLOOKUP(B45,AFTER2,8,0)</f>
        <v>8.5920833333333363E-2</v>
      </c>
      <c r="P45" s="150">
        <f t="shared" si="1"/>
        <v>0.16435833333333338</v>
      </c>
      <c r="R45" s="158">
        <v>49</v>
      </c>
      <c r="S45" s="159">
        <v>34</v>
      </c>
      <c r="T45" s="157">
        <f t="shared" si="0"/>
        <v>49</v>
      </c>
      <c r="U45" s="160">
        <v>1</v>
      </c>
      <c r="V45" s="161">
        <v>50</v>
      </c>
      <c r="W45" s="157">
        <f>SUMIF(T:T,V:V,U:U)</f>
        <v>1</v>
      </c>
    </row>
    <row r="46" spans="1:23" s="69" customFormat="1" ht="13.7" customHeight="1" x14ac:dyDescent="0.25">
      <c r="A46" s="53">
        <v>35</v>
      </c>
      <c r="B46" s="99">
        <v>96</v>
      </c>
      <c r="C46" s="63" t="str">
        <f>VLOOKUP(B46,STARTOVKA,2,0)</f>
        <v>CZE19960516</v>
      </c>
      <c r="D46" s="64" t="str">
        <f>VLOOKUP(B46,STARTOVKA,3,0)</f>
        <v xml:space="preserve">SCHMIDT Vít </v>
      </c>
      <c r="E46" s="65" t="str">
        <f>VLOOKUP(B46,STARTOVKA,4,0)</f>
        <v xml:space="preserve">TJ FAVORIT BRNO </v>
      </c>
      <c r="F46" s="66">
        <f>VLOOKUP(B46,STARTOVKA,5,0)</f>
        <v>8369</v>
      </c>
      <c r="G46" s="67" t="str">
        <f>VLOOKUP(B46,STARTOVKA,6,0)</f>
        <v>JUNIOR</v>
      </c>
      <c r="H46" s="67" t="str">
        <f>VLOOKUP(B46,STARTOVKA,7,0)</f>
        <v>FAV</v>
      </c>
      <c r="I46" s="68">
        <v>7.8437500000000007E-2</v>
      </c>
      <c r="J46" s="31">
        <f>I46-$I$12</f>
        <v>1.516203703703714E-3</v>
      </c>
      <c r="K46" s="31">
        <f>M46+N46</f>
        <v>0</v>
      </c>
      <c r="M46" s="31"/>
      <c r="N46" s="31"/>
      <c r="O46" s="31">
        <f>VLOOKUP(B46,AFTER2,8,0)</f>
        <v>8.56220601851852E-2</v>
      </c>
      <c r="P46" s="150">
        <f t="shared" si="1"/>
        <v>0.16405956018518519</v>
      </c>
      <c r="R46" s="158">
        <v>96</v>
      </c>
      <c r="S46" s="159">
        <v>35</v>
      </c>
      <c r="T46" s="157">
        <f t="shared" si="0"/>
        <v>96</v>
      </c>
      <c r="U46" s="160">
        <v>1</v>
      </c>
      <c r="V46" s="161">
        <v>51</v>
      </c>
      <c r="W46" s="157">
        <f>SUMIF(T:T,V:V,U:U)</f>
        <v>1</v>
      </c>
    </row>
    <row r="47" spans="1:23" s="69" customFormat="1" ht="13.7" customHeight="1" x14ac:dyDescent="0.25">
      <c r="A47" s="53">
        <v>36</v>
      </c>
      <c r="B47" s="99">
        <v>56</v>
      </c>
      <c r="C47" s="63" t="str">
        <f>VLOOKUP(B47,STARTOVKA,2,0)</f>
        <v>POL19970322</v>
      </c>
      <c r="D47" s="64" t="str">
        <f>VLOOKUP(B47,STARTOVKA,3,0)</f>
        <v>FOLTYN Maciej</v>
      </c>
      <c r="E47" s="65" t="str">
        <f>VLOOKUP(B47,STARTOVKA,4,0)</f>
        <v>GRUPA KOLARSKA GLIWICE BA</v>
      </c>
      <c r="F47" s="66" t="str">
        <f>VLOOKUP(B47,STARTOVKA,5,0)</f>
        <v>SLA219</v>
      </c>
      <c r="G47" s="67" t="str">
        <f>VLOOKUP(B47,STARTOVKA,6,0)</f>
        <v>JUNIOR*</v>
      </c>
      <c r="H47" s="67" t="str">
        <f>VLOOKUP(B47,STARTOVKA,7,0)</f>
        <v>GLI</v>
      </c>
      <c r="I47" s="68">
        <v>7.8437500000000007E-2</v>
      </c>
      <c r="J47" s="31">
        <f>I47-$I$12</f>
        <v>1.516203703703714E-3</v>
      </c>
      <c r="K47" s="31">
        <f>M47+N47</f>
        <v>0</v>
      </c>
      <c r="M47" s="31"/>
      <c r="N47" s="31"/>
      <c r="O47" s="31">
        <f>VLOOKUP(B47,AFTER2,8,0)</f>
        <v>8.5532453703703742E-2</v>
      </c>
      <c r="P47" s="150">
        <f t="shared" si="1"/>
        <v>0.16396995370370376</v>
      </c>
      <c r="R47" s="158">
        <v>56</v>
      </c>
      <c r="S47" s="159">
        <v>36</v>
      </c>
      <c r="T47" s="157">
        <f t="shared" si="0"/>
        <v>56</v>
      </c>
      <c r="U47" s="160">
        <v>1</v>
      </c>
      <c r="V47" s="161">
        <v>52</v>
      </c>
      <c r="W47" s="157">
        <f>SUMIF(T:T,V:V,U:U)</f>
        <v>1</v>
      </c>
    </row>
    <row r="48" spans="1:23" s="69" customFormat="1" ht="13.7" customHeight="1" x14ac:dyDescent="0.25">
      <c r="A48" s="53">
        <v>37</v>
      </c>
      <c r="B48" s="99">
        <v>124</v>
      </c>
      <c r="C48" s="63" t="str">
        <f>VLOOKUP(B48,STARTOVKA,2,0)</f>
        <v>CZE19970613</v>
      </c>
      <c r="D48" s="64" t="str">
        <f>VLOOKUP(B48,STARTOVKA,3,0)</f>
        <v xml:space="preserve">ŠÁNA Jiří </v>
      </c>
      <c r="E48" s="65" t="str">
        <f>VLOOKUP(B48,STARTOVKA,4,0)</f>
        <v xml:space="preserve">SKC TUFO PROSTĚJOV </v>
      </c>
      <c r="F48" s="66">
        <f>VLOOKUP(B48,STARTOVKA,5,0)</f>
        <v>8743</v>
      </c>
      <c r="G48" s="67" t="str">
        <f>VLOOKUP(B48,STARTOVKA,6,0)</f>
        <v>JUNIOR*</v>
      </c>
      <c r="H48" s="67" t="str">
        <f>VLOOKUP(B48,STARTOVKA,7,0)</f>
        <v>SKC</v>
      </c>
      <c r="I48" s="68">
        <v>7.8437500000000007E-2</v>
      </c>
      <c r="J48" s="31">
        <f>I48-$I$12</f>
        <v>1.516203703703714E-3</v>
      </c>
      <c r="K48" s="31">
        <f>M48+N48</f>
        <v>0</v>
      </c>
      <c r="M48" s="31"/>
      <c r="N48" s="31"/>
      <c r="O48" s="31">
        <f>VLOOKUP(B48,AFTER2,8,0)</f>
        <v>8.5393252314814802E-2</v>
      </c>
      <c r="P48" s="150">
        <f t="shared" si="1"/>
        <v>0.16383075231481481</v>
      </c>
      <c r="R48" s="158">
        <v>124</v>
      </c>
      <c r="S48" s="159">
        <v>37</v>
      </c>
      <c r="T48" s="157">
        <f t="shared" si="0"/>
        <v>124</v>
      </c>
      <c r="U48" s="160">
        <v>1</v>
      </c>
      <c r="V48" s="161">
        <v>53</v>
      </c>
      <c r="W48" s="157">
        <f>SUMIF(T:T,V:V,U:U)</f>
        <v>1</v>
      </c>
    </row>
    <row r="49" spans="1:23" s="69" customFormat="1" ht="13.7" customHeight="1" x14ac:dyDescent="0.25">
      <c r="A49" s="53">
        <v>38</v>
      </c>
      <c r="B49" s="99">
        <v>185</v>
      </c>
      <c r="C49" s="63" t="str">
        <f>VLOOKUP(B49,STARTOVKA,2,0)</f>
        <v>AUT19960302</v>
      </c>
      <c r="D49" s="64" t="str">
        <f>VLOOKUP(B49,STARTOVKA,3,0)</f>
        <v>TAFERNER Stefan</v>
      </c>
      <c r="E49" s="65" t="str">
        <f>VLOOKUP(B49,STARTOVKA,4,0)</f>
        <v xml:space="preserve">LRV STEIERMARK </v>
      </c>
      <c r="F49" s="66">
        <f>VLOOKUP(B49,STARTOVKA,5,0)</f>
        <v>100831</v>
      </c>
      <c r="G49" s="67" t="str">
        <f>VLOOKUP(B49,STARTOVKA,6,0)</f>
        <v>JUNIOR</v>
      </c>
      <c r="H49" s="67" t="str">
        <f>VLOOKUP(B49,STARTOVKA,7,0)</f>
        <v>LRV</v>
      </c>
      <c r="I49" s="68">
        <v>7.8437500000000007E-2</v>
      </c>
      <c r="J49" s="31">
        <f>I49-$I$12</f>
        <v>1.516203703703714E-3</v>
      </c>
      <c r="K49" s="31">
        <f>M49+N49</f>
        <v>0</v>
      </c>
      <c r="M49" s="31"/>
      <c r="N49" s="31"/>
      <c r="O49" s="31">
        <f>VLOOKUP(B49,AFTER2,8,0)</f>
        <v>8.5401851851851895E-2</v>
      </c>
      <c r="P49" s="150">
        <f t="shared" si="1"/>
        <v>0.16383935185185189</v>
      </c>
      <c r="R49" s="158">
        <v>185</v>
      </c>
      <c r="S49" s="159">
        <v>38</v>
      </c>
      <c r="T49" s="157">
        <f t="shared" si="0"/>
        <v>185</v>
      </c>
      <c r="U49" s="160">
        <v>1</v>
      </c>
      <c r="V49" s="161">
        <v>54</v>
      </c>
      <c r="W49" s="157">
        <f>SUMIF(T:T,V:V,U:U)</f>
        <v>1</v>
      </c>
    </row>
    <row r="50" spans="1:23" s="69" customFormat="1" ht="13.7" customHeight="1" x14ac:dyDescent="0.25">
      <c r="A50" s="53">
        <v>39</v>
      </c>
      <c r="B50" s="99">
        <v>148</v>
      </c>
      <c r="C50" s="63" t="str">
        <f>VLOOKUP(B50,STARTOVKA,2,0)</f>
        <v>CZE19960522</v>
      </c>
      <c r="D50" s="64" t="str">
        <f>VLOOKUP(B50,STARTOVKA,3,0)</f>
        <v xml:space="preserve">PUDL Tomáš </v>
      </c>
      <c r="E50" s="65" t="str">
        <f>VLOOKUP(B50,STARTOVKA,4,0)</f>
        <v xml:space="preserve">MAPEI CYKLO KAŇKOVSKÝ </v>
      </c>
      <c r="F50" s="66">
        <f>VLOOKUP(B50,STARTOVKA,5,0)</f>
        <v>19342</v>
      </c>
      <c r="G50" s="67" t="str">
        <f>VLOOKUP(B50,STARTOVKA,6,0)</f>
        <v>JUNIOR</v>
      </c>
      <c r="H50" s="67" t="str">
        <f>VLOOKUP(B50,STARTOVKA,7,0)</f>
        <v>MAP</v>
      </c>
      <c r="I50" s="68">
        <v>7.8437500000000007E-2</v>
      </c>
      <c r="J50" s="31">
        <f>I50-$I$12</f>
        <v>1.516203703703714E-3</v>
      </c>
      <c r="K50" s="31">
        <f>M50+N50</f>
        <v>0</v>
      </c>
      <c r="M50" s="31"/>
      <c r="N50" s="31"/>
      <c r="O50" s="31">
        <f>VLOOKUP(B50,AFTER2,8,0)</f>
        <v>8.5963333333333322E-2</v>
      </c>
      <c r="P50" s="150">
        <f t="shared" si="1"/>
        <v>0.16440083333333333</v>
      </c>
      <c r="R50" s="158">
        <v>148</v>
      </c>
      <c r="S50" s="159">
        <v>39</v>
      </c>
      <c r="T50" s="157">
        <f t="shared" si="0"/>
        <v>148</v>
      </c>
      <c r="U50" s="160">
        <v>1</v>
      </c>
      <c r="V50" s="161">
        <v>55</v>
      </c>
      <c r="W50" s="157">
        <f>SUMIF(T:T,V:V,U:U)</f>
        <v>1</v>
      </c>
    </row>
    <row r="51" spans="1:23" s="69" customFormat="1" ht="13.7" customHeight="1" x14ac:dyDescent="0.25">
      <c r="A51" s="53">
        <v>40</v>
      </c>
      <c r="B51" s="99">
        <v>123</v>
      </c>
      <c r="C51" s="63" t="str">
        <f>VLOOKUP(B51,STARTOVKA,2,0)</f>
        <v>CZE19971015</v>
      </c>
      <c r="D51" s="64" t="str">
        <f>VLOOKUP(B51,STARTOVKA,3,0)</f>
        <v xml:space="preserve">STRUPEK Matyáš </v>
      </c>
      <c r="E51" s="65" t="str">
        <f>VLOOKUP(B51,STARTOVKA,4,0)</f>
        <v xml:space="preserve">SKC TUFO PROSTĚJOV </v>
      </c>
      <c r="F51" s="66">
        <f>VLOOKUP(B51,STARTOVKA,5,0)</f>
        <v>11747</v>
      </c>
      <c r="G51" s="67" t="str">
        <f>VLOOKUP(B51,STARTOVKA,6,0)</f>
        <v>JUNIOR*</v>
      </c>
      <c r="H51" s="67" t="str">
        <f>VLOOKUP(B51,STARTOVKA,7,0)</f>
        <v>SKC</v>
      </c>
      <c r="I51" s="68">
        <v>7.8437500000000007E-2</v>
      </c>
      <c r="J51" s="31">
        <f>I51-$I$12</f>
        <v>1.516203703703714E-3</v>
      </c>
      <c r="K51" s="31">
        <f>M51+N51</f>
        <v>0</v>
      </c>
      <c r="M51" s="31"/>
      <c r="N51" s="31"/>
      <c r="O51" s="31">
        <f>VLOOKUP(B51,AFTER2,8,0)</f>
        <v>8.5660023148148121E-2</v>
      </c>
      <c r="P51" s="150">
        <f t="shared" si="1"/>
        <v>0.16409752314814813</v>
      </c>
      <c r="R51" s="158">
        <v>123</v>
      </c>
      <c r="S51" s="159">
        <v>40</v>
      </c>
      <c r="T51" s="157">
        <f t="shared" si="0"/>
        <v>123</v>
      </c>
      <c r="U51" s="160">
        <v>1</v>
      </c>
      <c r="V51" s="161">
        <v>56</v>
      </c>
      <c r="W51" s="157">
        <f>SUMIF(T:T,V:V,U:U)</f>
        <v>1</v>
      </c>
    </row>
    <row r="52" spans="1:23" s="69" customFormat="1" ht="13.7" customHeight="1" x14ac:dyDescent="0.25">
      <c r="A52" s="53">
        <v>41</v>
      </c>
      <c r="B52" s="99">
        <v>163</v>
      </c>
      <c r="C52" s="63" t="str">
        <f>VLOOKUP(B52,STARTOVKA,2,0)</f>
        <v>RUS19970527</v>
      </c>
      <c r="D52" s="64" t="str">
        <f>VLOOKUP(B52,STARTOVKA,3,0)</f>
        <v>PLAKUSHKIN Sergey</v>
      </c>
      <c r="E52" s="65" t="str">
        <f>VLOOKUP(B52,STARTOVKA,4,0)</f>
        <v>RUSSIAN CYCLING FEDERATION</v>
      </c>
      <c r="F52" s="66" t="str">
        <f>VLOOKUP(B52,STARTOVKA,5,0)</f>
        <v>B0277</v>
      </c>
      <c r="G52" s="67" t="str">
        <f>VLOOKUP(B52,STARTOVKA,6,0)</f>
        <v>JUNIOR*</v>
      </c>
      <c r="H52" s="67" t="str">
        <f>VLOOKUP(B52,STARTOVKA,7,0)</f>
        <v>RUS</v>
      </c>
      <c r="I52" s="68">
        <v>7.8437500000000007E-2</v>
      </c>
      <c r="J52" s="31">
        <f>I52-$I$12</f>
        <v>1.516203703703714E-3</v>
      </c>
      <c r="K52" s="31">
        <f>M52+N52</f>
        <v>0</v>
      </c>
      <c r="M52" s="31"/>
      <c r="N52" s="31"/>
      <c r="O52" s="31">
        <f>VLOOKUP(B52,AFTER2,8,0)</f>
        <v>8.5400879629629611E-2</v>
      </c>
      <c r="P52" s="150">
        <f t="shared" si="1"/>
        <v>0.1638383796296296</v>
      </c>
      <c r="R52" s="158">
        <v>163</v>
      </c>
      <c r="S52" s="159">
        <v>41</v>
      </c>
      <c r="T52" s="157">
        <f t="shared" si="0"/>
        <v>163</v>
      </c>
      <c r="U52" s="160">
        <v>1</v>
      </c>
      <c r="V52" s="161">
        <v>57</v>
      </c>
      <c r="W52" s="157">
        <f>SUMIF(T:T,V:V,U:U)</f>
        <v>1</v>
      </c>
    </row>
    <row r="53" spans="1:23" s="69" customFormat="1" ht="13.7" customHeight="1" x14ac:dyDescent="0.25">
      <c r="A53" s="53">
        <v>42</v>
      </c>
      <c r="B53" s="99">
        <v>142</v>
      </c>
      <c r="C53" s="63" t="str">
        <f>VLOOKUP(B53,STARTOVKA,2,0)</f>
        <v>CZE19971022</v>
      </c>
      <c r="D53" s="64" t="str">
        <f>VLOOKUP(B53,STARTOVKA,3,0)</f>
        <v xml:space="preserve">KLEVETA Jakub </v>
      </c>
      <c r="E53" s="65" t="str">
        <f>VLOOKUP(B53,STARTOVKA,4,0)</f>
        <v xml:space="preserve">MAPEI CYKLO KAŇKOVSKÝ </v>
      </c>
      <c r="F53" s="66">
        <f>VLOOKUP(B53,STARTOVKA,5,0)</f>
        <v>10284</v>
      </c>
      <c r="G53" s="67" t="str">
        <f>VLOOKUP(B53,STARTOVKA,6,0)</f>
        <v>JUNIOR*</v>
      </c>
      <c r="H53" s="67" t="str">
        <f>VLOOKUP(B53,STARTOVKA,7,0)</f>
        <v>MAP</v>
      </c>
      <c r="I53" s="68">
        <v>7.8796296296296295E-2</v>
      </c>
      <c r="J53" s="31">
        <f>I53-$I$12</f>
        <v>1.8750000000000017E-3</v>
      </c>
      <c r="K53" s="31">
        <f>M53+N53</f>
        <v>0</v>
      </c>
      <c r="M53" s="31"/>
      <c r="N53" s="31"/>
      <c r="O53" s="31">
        <f>VLOOKUP(B53,AFTER2,8,0)</f>
        <v>8.6766979166666702E-2</v>
      </c>
      <c r="P53" s="150">
        <f t="shared" si="1"/>
        <v>0.16556327546296301</v>
      </c>
      <c r="R53" s="158">
        <v>142</v>
      </c>
      <c r="S53" s="159">
        <v>42</v>
      </c>
      <c r="T53" s="157">
        <f t="shared" si="0"/>
        <v>142</v>
      </c>
      <c r="U53" s="160">
        <v>1</v>
      </c>
      <c r="V53" s="161">
        <v>58</v>
      </c>
      <c r="W53" s="157">
        <f>SUMIF(T:T,V:V,U:U)</f>
        <v>1</v>
      </c>
    </row>
    <row r="54" spans="1:23" s="69" customFormat="1" ht="13.7" customHeight="1" x14ac:dyDescent="0.25">
      <c r="A54" s="53">
        <v>43</v>
      </c>
      <c r="B54" s="99">
        <v>183</v>
      </c>
      <c r="C54" s="63" t="str">
        <f>VLOOKUP(B54,STARTOVKA,2,0)</f>
        <v>AUT19961121</v>
      </c>
      <c r="D54" s="64" t="str">
        <f>VLOOKUP(B54,STARTOVKA,3,0)</f>
        <v>KROGER Klemens</v>
      </c>
      <c r="E54" s="65" t="str">
        <f>VLOOKUP(B54,STARTOVKA,4,0)</f>
        <v xml:space="preserve">LRV STEIERMARK </v>
      </c>
      <c r="F54" s="66">
        <f>VLOOKUP(B54,STARTOVKA,5,0)</f>
        <v>100828</v>
      </c>
      <c r="G54" s="67" t="str">
        <f>VLOOKUP(B54,STARTOVKA,6,0)</f>
        <v>JUNIOR</v>
      </c>
      <c r="H54" s="67" t="str">
        <f>VLOOKUP(B54,STARTOVKA,7,0)</f>
        <v>LRV</v>
      </c>
      <c r="I54" s="68">
        <v>7.8981481481481486E-2</v>
      </c>
      <c r="J54" s="31">
        <f>I54-$I$12</f>
        <v>2.0601851851851927E-3</v>
      </c>
      <c r="K54" s="31">
        <f>M54+N54</f>
        <v>0</v>
      </c>
      <c r="M54" s="31"/>
      <c r="N54" s="31"/>
      <c r="O54" s="31">
        <f>VLOOKUP(B54,AFTER2,8,0)</f>
        <v>8.5626192129629602E-2</v>
      </c>
      <c r="P54" s="150">
        <f t="shared" si="1"/>
        <v>0.16460767361111109</v>
      </c>
      <c r="R54" s="158">
        <v>183</v>
      </c>
      <c r="S54" s="159">
        <v>43</v>
      </c>
      <c r="T54" s="157">
        <f t="shared" si="0"/>
        <v>183</v>
      </c>
      <c r="U54" s="160">
        <v>1</v>
      </c>
      <c r="V54" s="161">
        <v>59</v>
      </c>
      <c r="W54" s="157">
        <f>SUMIF(T:T,V:V,U:U)</f>
        <v>1</v>
      </c>
    </row>
    <row r="55" spans="1:23" s="69" customFormat="1" ht="13.7" customHeight="1" x14ac:dyDescent="0.25">
      <c r="A55" s="53">
        <v>44</v>
      </c>
      <c r="B55" s="99">
        <v>117</v>
      </c>
      <c r="C55" s="63" t="str">
        <f>VLOOKUP(B55,STARTOVKA,2,0)</f>
        <v>GER19971022</v>
      </c>
      <c r="D55" s="64" t="str">
        <f>VLOOKUP(B55,STARTOVKA,3,0)</f>
        <v>KANTER Max</v>
      </c>
      <c r="E55" s="65" t="str">
        <f>VLOOKUP(B55,STARTOVKA,4,0)</f>
        <v>TEAM BRANDENBURG - RSC COTTBUS</v>
      </c>
      <c r="F55" s="66" t="str">
        <f>VLOOKUP(B55,STARTOVKA,5,0)</f>
        <v>044005-11</v>
      </c>
      <c r="G55" s="67" t="str">
        <f>VLOOKUP(B55,STARTOVKA,6,0)</f>
        <v>JUNIOR*</v>
      </c>
      <c r="H55" s="67" t="str">
        <f>VLOOKUP(B55,STARTOVKA,7,0)</f>
        <v>COT</v>
      </c>
      <c r="I55" s="68">
        <v>7.8981481481481486E-2</v>
      </c>
      <c r="J55" s="31">
        <f>I55-$I$12</f>
        <v>2.0601851851851927E-3</v>
      </c>
      <c r="K55" s="31">
        <f>M55+N55</f>
        <v>0</v>
      </c>
      <c r="M55" s="31"/>
      <c r="N55" s="31"/>
      <c r="O55" s="31">
        <f>VLOOKUP(B55,AFTER2,8,0)</f>
        <v>8.517785879629633E-2</v>
      </c>
      <c r="P55" s="150">
        <f t="shared" si="1"/>
        <v>0.16415934027777782</v>
      </c>
      <c r="R55" s="158">
        <v>117</v>
      </c>
      <c r="S55" s="159">
        <v>44</v>
      </c>
      <c r="T55" s="157">
        <f t="shared" si="0"/>
        <v>117</v>
      </c>
      <c r="U55" s="160">
        <v>1</v>
      </c>
      <c r="V55" s="161">
        <v>62</v>
      </c>
      <c r="W55" s="157">
        <f>SUMIF(T:T,V:V,U:U)</f>
        <v>1</v>
      </c>
    </row>
    <row r="56" spans="1:23" s="69" customFormat="1" ht="13.7" customHeight="1" x14ac:dyDescent="0.25">
      <c r="A56" s="53">
        <v>45</v>
      </c>
      <c r="B56" s="99">
        <v>122</v>
      </c>
      <c r="C56" s="63" t="str">
        <f>VLOOKUP(B56,STARTOVKA,2,0)</f>
        <v>CZE19971201</v>
      </c>
      <c r="D56" s="64" t="str">
        <f>VLOOKUP(B56,STARTOVKA,3,0)</f>
        <v xml:space="preserve">CHYTIL Daniel </v>
      </c>
      <c r="E56" s="65" t="str">
        <f>VLOOKUP(B56,STARTOVKA,4,0)</f>
        <v xml:space="preserve">SKC TUFO PROSTĚJOV </v>
      </c>
      <c r="F56" s="66">
        <f>VLOOKUP(B56,STARTOVKA,5,0)</f>
        <v>13150</v>
      </c>
      <c r="G56" s="67" t="str">
        <f>VLOOKUP(B56,STARTOVKA,6,0)</f>
        <v>JUNIOR*</v>
      </c>
      <c r="H56" s="67" t="str">
        <f>VLOOKUP(B56,STARTOVKA,7,0)</f>
        <v>SKC</v>
      </c>
      <c r="I56" s="68">
        <v>7.9062499999999994E-2</v>
      </c>
      <c r="J56" s="31">
        <f>I56-$I$12</f>
        <v>2.1412037037037007E-3</v>
      </c>
      <c r="K56" s="31">
        <f>M56+N56</f>
        <v>0</v>
      </c>
      <c r="M56" s="31"/>
      <c r="N56" s="31"/>
      <c r="O56" s="31">
        <f>VLOOKUP(B56,AFTER2,8,0)</f>
        <v>8.6304780092592598E-2</v>
      </c>
      <c r="P56" s="150">
        <f t="shared" si="1"/>
        <v>0.16536728009259261</v>
      </c>
      <c r="R56" s="158">
        <v>122</v>
      </c>
      <c r="S56" s="159">
        <v>45</v>
      </c>
      <c r="T56" s="157">
        <f t="shared" si="0"/>
        <v>122</v>
      </c>
      <c r="U56" s="160">
        <v>1</v>
      </c>
      <c r="V56" s="161">
        <v>63</v>
      </c>
      <c r="W56" s="157">
        <f>SUMIF(T:T,V:V,U:U)</f>
        <v>1</v>
      </c>
    </row>
    <row r="57" spans="1:23" s="69" customFormat="1" ht="13.7" customHeight="1" x14ac:dyDescent="0.25">
      <c r="A57" s="53">
        <v>46</v>
      </c>
      <c r="B57" s="221">
        <v>111</v>
      </c>
      <c r="C57" s="63" t="str">
        <f>VLOOKUP(B57,STARTOVKA,2,0)</f>
        <v>GER19960410</v>
      </c>
      <c r="D57" s="64" t="str">
        <f>VLOOKUP(B57,STARTOVKA,3,0)</f>
        <v>BECKER Alexander</v>
      </c>
      <c r="E57" s="65" t="str">
        <f>VLOOKUP(B57,STARTOVKA,4,0)</f>
        <v>TEAM BRANDENBURG - RSC COTTBUS</v>
      </c>
      <c r="F57" s="66" t="str">
        <f>VLOOKUP(B57,STARTOVKA,5,0)</f>
        <v>042439-11</v>
      </c>
      <c r="G57" s="67" t="str">
        <f>VLOOKUP(B57,STARTOVKA,6,0)</f>
        <v>JUNIOR</v>
      </c>
      <c r="H57" s="67" t="str">
        <f>VLOOKUP(B57,STARTOVKA,7,0)</f>
        <v>COT</v>
      </c>
      <c r="I57" s="68">
        <v>7.9293981481481479E-2</v>
      </c>
      <c r="J57" s="31">
        <f>I57-$I$12</f>
        <v>2.372685185185186E-3</v>
      </c>
      <c r="K57" s="31">
        <f>M57+N57</f>
        <v>0</v>
      </c>
      <c r="M57" s="31"/>
      <c r="N57" s="31"/>
      <c r="O57" s="31">
        <f>VLOOKUP(B57,AFTER2,8,0)</f>
        <v>8.676079861111112E-2</v>
      </c>
      <c r="P57" s="150">
        <f t="shared" si="1"/>
        <v>0.16605478009259261</v>
      </c>
      <c r="R57" s="158">
        <v>111</v>
      </c>
      <c r="S57" s="159">
        <v>46</v>
      </c>
      <c r="T57" s="157">
        <f t="shared" si="0"/>
        <v>111</v>
      </c>
      <c r="U57" s="160">
        <v>1</v>
      </c>
      <c r="V57" s="161">
        <v>65</v>
      </c>
      <c r="W57" s="157">
        <f>SUMIF(T:T,V:V,U:U)</f>
        <v>1</v>
      </c>
    </row>
    <row r="58" spans="1:23" s="69" customFormat="1" ht="13.7" customHeight="1" x14ac:dyDescent="0.25">
      <c r="A58" s="53">
        <v>47</v>
      </c>
      <c r="B58" s="99">
        <v>125</v>
      </c>
      <c r="C58" s="63" t="str">
        <f>VLOOKUP(B58,STARTOVKA,2,0)</f>
        <v>CZE19970118</v>
      </c>
      <c r="D58" s="64" t="str">
        <f>VLOOKUP(B58,STARTOVKA,3,0)</f>
        <v>MAYER Daniel</v>
      </c>
      <c r="E58" s="65" t="str">
        <f>VLOOKUP(B58,STARTOVKA,4,0)</f>
        <v>KC HLINSKO</v>
      </c>
      <c r="F58" s="66">
        <f>VLOOKUP(B58,STARTOVKA,5,0)</f>
        <v>13274</v>
      </c>
      <c r="G58" s="67" t="str">
        <f>VLOOKUP(B58,STARTOVKA,6,0)</f>
        <v>JUNIOR*</v>
      </c>
      <c r="H58" s="67" t="str">
        <f>VLOOKUP(B58,STARTOVKA,7,0)</f>
        <v>SKC</v>
      </c>
      <c r="I58" s="68">
        <v>7.9293981481481479E-2</v>
      </c>
      <c r="J58" s="31">
        <f>I58-$I$12</f>
        <v>2.372685185185186E-3</v>
      </c>
      <c r="K58" s="31">
        <f>M58+N58</f>
        <v>0</v>
      </c>
      <c r="M58" s="31"/>
      <c r="N58" s="31"/>
      <c r="O58" s="31">
        <f>VLOOKUP(B58,AFTER2,8,0)</f>
        <v>8.6040682870370394E-2</v>
      </c>
      <c r="P58" s="150">
        <f t="shared" si="1"/>
        <v>0.16533466435185187</v>
      </c>
      <c r="R58" s="158">
        <v>125</v>
      </c>
      <c r="S58" s="159">
        <v>47</v>
      </c>
      <c r="T58" s="157">
        <f t="shared" si="0"/>
        <v>125</v>
      </c>
      <c r="U58" s="160">
        <v>1</v>
      </c>
      <c r="V58" s="161">
        <v>71</v>
      </c>
      <c r="W58" s="157">
        <f>SUMIF(T:T,V:V,U:U)</f>
        <v>1</v>
      </c>
    </row>
    <row r="59" spans="1:23" s="69" customFormat="1" ht="13.7" customHeight="1" x14ac:dyDescent="0.25">
      <c r="A59" s="53">
        <v>48</v>
      </c>
      <c r="B59" s="99">
        <v>182</v>
      </c>
      <c r="C59" s="63" t="str">
        <f>VLOOKUP(B59,STARTOVKA,2,0)</f>
        <v>AUT19960709</v>
      </c>
      <c r="D59" s="64" t="str">
        <f>VLOOKUP(B59,STARTOVKA,3,0)</f>
        <v>KOPFAUF Markus</v>
      </c>
      <c r="E59" s="65" t="str">
        <f>VLOOKUP(B59,STARTOVKA,4,0)</f>
        <v xml:space="preserve">LRV STEIERMARK </v>
      </c>
      <c r="F59" s="66">
        <f>VLOOKUP(B59,STARTOVKA,5,0)</f>
        <v>100827</v>
      </c>
      <c r="G59" s="67" t="str">
        <f>VLOOKUP(B59,STARTOVKA,6,0)</f>
        <v>JUNIOR</v>
      </c>
      <c r="H59" s="67" t="str">
        <f>VLOOKUP(B59,STARTOVKA,7,0)</f>
        <v>LRV</v>
      </c>
      <c r="I59" s="68">
        <v>7.9293981481481479E-2</v>
      </c>
      <c r="J59" s="31">
        <f>I59-$I$12</f>
        <v>2.372685185185186E-3</v>
      </c>
      <c r="K59" s="31">
        <f>M59+N59</f>
        <v>0</v>
      </c>
      <c r="M59" s="31"/>
      <c r="N59" s="31"/>
      <c r="O59" s="31">
        <f>VLOOKUP(B59,AFTER2,8,0)</f>
        <v>8.5079918981481456E-2</v>
      </c>
      <c r="P59" s="150">
        <f t="shared" si="1"/>
        <v>0.16437390046296294</v>
      </c>
      <c r="R59" s="158">
        <v>182</v>
      </c>
      <c r="S59" s="159">
        <v>48</v>
      </c>
      <c r="T59" s="157">
        <f t="shared" si="0"/>
        <v>182</v>
      </c>
      <c r="U59" s="160">
        <v>1</v>
      </c>
      <c r="V59" s="161">
        <v>72</v>
      </c>
      <c r="W59" s="157">
        <f>SUMIF(T:T,V:V,U:U)</f>
        <v>1</v>
      </c>
    </row>
    <row r="60" spans="1:23" s="69" customFormat="1" ht="13.7" customHeight="1" x14ac:dyDescent="0.25">
      <c r="A60" s="53">
        <v>49</v>
      </c>
      <c r="B60" s="99">
        <v>131</v>
      </c>
      <c r="C60" s="63" t="str">
        <f>VLOOKUP(B60,STARTOVKA,2,0)</f>
        <v>AUT19961107</v>
      </c>
      <c r="D60" s="64" t="str">
        <f>VLOOKUP(B60,STARTOVKA,3,0)</f>
        <v>FÜHRER Alexander</v>
      </c>
      <c r="E60" s="65" t="str">
        <f>VLOOKUP(B60,STARTOVKA,4,0)</f>
        <v>RLM WIEN</v>
      </c>
      <c r="F60" s="66">
        <f>VLOOKUP(B60,STARTOVKA,5,0)</f>
        <v>100020</v>
      </c>
      <c r="G60" s="67" t="str">
        <f>VLOOKUP(B60,STARTOVKA,6,0)</f>
        <v>JUNIOR</v>
      </c>
      <c r="H60" s="67" t="str">
        <f>VLOOKUP(B60,STARTOVKA,7,0)</f>
        <v>RCA</v>
      </c>
      <c r="I60" s="68">
        <v>7.9293981481481479E-2</v>
      </c>
      <c r="J60" s="31">
        <f>I60-$I$12</f>
        <v>2.372685185185186E-3</v>
      </c>
      <c r="K60" s="31">
        <f>M60+N60</f>
        <v>0</v>
      </c>
      <c r="M60" s="31"/>
      <c r="N60" s="31"/>
      <c r="O60" s="31">
        <f>VLOOKUP(B60,AFTER2,8,0)</f>
        <v>8.6418043981481452E-2</v>
      </c>
      <c r="P60" s="150">
        <f t="shared" si="1"/>
        <v>0.16571202546296293</v>
      </c>
      <c r="R60" s="158">
        <v>131</v>
      </c>
      <c r="S60" s="159">
        <v>49</v>
      </c>
      <c r="T60" s="157">
        <f t="shared" si="0"/>
        <v>131</v>
      </c>
      <c r="U60" s="160">
        <v>1</v>
      </c>
      <c r="V60" s="161">
        <v>73</v>
      </c>
      <c r="W60" s="157">
        <f>SUMIF(T:T,V:V,U:U)</f>
        <v>1</v>
      </c>
    </row>
    <row r="61" spans="1:23" s="69" customFormat="1" ht="13.7" customHeight="1" x14ac:dyDescent="0.25">
      <c r="A61" s="53">
        <v>50</v>
      </c>
      <c r="B61" s="99">
        <v>17</v>
      </c>
      <c r="C61" s="63" t="str">
        <f>VLOOKUP(B61,STARTOVKA,2,0)</f>
        <v>GER19980912</v>
      </c>
      <c r="D61" s="64" t="str">
        <f>VLOOKUP(B61,STARTOVKA,3,0)</f>
        <v>CLAUSS Marc</v>
      </c>
      <c r="E61" s="65" t="str">
        <f>VLOOKUP(B61,STARTOVKA,4,0)</f>
        <v>JUNIOREN SCHWALBE TEAM SACHSEN</v>
      </c>
      <c r="F61" s="66" t="str">
        <f>VLOOKUP(B61,STARTOVKA,5,0)</f>
        <v>SAC 135276</v>
      </c>
      <c r="G61" s="67" t="str">
        <f>VLOOKUP(B61,STARTOVKA,6,0)</f>
        <v>CADET</v>
      </c>
      <c r="H61" s="67" t="str">
        <f>VLOOKUP(B61,STARTOVKA,7,0)</f>
        <v>SCW</v>
      </c>
      <c r="I61" s="68">
        <v>7.9293981481481479E-2</v>
      </c>
      <c r="J61" s="31">
        <f>I61-$I$12</f>
        <v>2.372685185185186E-3</v>
      </c>
      <c r="K61" s="31">
        <f>M61+N61</f>
        <v>0</v>
      </c>
      <c r="M61" s="31"/>
      <c r="N61" s="31"/>
      <c r="O61" s="31">
        <f>VLOOKUP(B61,AFTER2,8,0)</f>
        <v>8.6054895833333284E-2</v>
      </c>
      <c r="P61" s="150">
        <f t="shared" si="1"/>
        <v>0.16534887731481476</v>
      </c>
      <c r="R61" s="158">
        <v>17</v>
      </c>
      <c r="S61" s="159">
        <v>50</v>
      </c>
      <c r="T61" s="157">
        <f t="shared" si="0"/>
        <v>17</v>
      </c>
      <c r="U61" s="160">
        <v>1</v>
      </c>
      <c r="V61" s="161">
        <v>74</v>
      </c>
      <c r="W61" s="157">
        <f>SUMIF(T:T,V:V,U:U)</f>
        <v>1</v>
      </c>
    </row>
    <row r="62" spans="1:23" s="69" customFormat="1" ht="13.7" customHeight="1" x14ac:dyDescent="0.25">
      <c r="A62" s="53">
        <v>51</v>
      </c>
      <c r="B62" s="99">
        <v>18</v>
      </c>
      <c r="C62" s="63" t="str">
        <f>VLOOKUP(B62,STARTOVKA,2,0)</f>
        <v>GER19980906</v>
      </c>
      <c r="D62" s="64" t="str">
        <f>VLOOKUP(B62,STARTOVKA,3,0)</f>
        <v>ZSCHOCKE Maximilian</v>
      </c>
      <c r="E62" s="65" t="str">
        <f>VLOOKUP(B62,STARTOVKA,4,0)</f>
        <v>JUNIOREN SCHWALBE TEAM SACHSEN</v>
      </c>
      <c r="F62" s="66" t="str">
        <f>VLOOKUP(B62,STARTOVKA,5,0)</f>
        <v>SAC 135079</v>
      </c>
      <c r="G62" s="67" t="str">
        <f>VLOOKUP(B62,STARTOVKA,6,0)</f>
        <v>CADET</v>
      </c>
      <c r="H62" s="67" t="str">
        <f>VLOOKUP(B62,STARTOVKA,7,0)</f>
        <v>SCW</v>
      </c>
      <c r="I62" s="68">
        <v>7.9293981481481479E-2</v>
      </c>
      <c r="J62" s="31">
        <f>I62-$I$12</f>
        <v>2.372685185185186E-3</v>
      </c>
      <c r="K62" s="31">
        <f>M62+N62</f>
        <v>0</v>
      </c>
      <c r="M62" s="31"/>
      <c r="N62" s="31"/>
      <c r="O62" s="31">
        <f>VLOOKUP(B62,AFTER2,8,0)</f>
        <v>8.6198518518518494E-2</v>
      </c>
      <c r="P62" s="150">
        <f t="shared" si="1"/>
        <v>0.16549249999999999</v>
      </c>
      <c r="R62" s="158">
        <v>18</v>
      </c>
      <c r="S62" s="159">
        <v>51</v>
      </c>
      <c r="T62" s="157">
        <f t="shared" si="0"/>
        <v>18</v>
      </c>
      <c r="U62" s="160">
        <v>1</v>
      </c>
      <c r="V62" s="161">
        <v>75</v>
      </c>
      <c r="W62" s="157">
        <f>SUMIF(T:T,V:V,U:U)</f>
        <v>1</v>
      </c>
    </row>
    <row r="63" spans="1:23" s="69" customFormat="1" ht="13.7" customHeight="1" x14ac:dyDescent="0.25">
      <c r="A63" s="53">
        <v>52</v>
      </c>
      <c r="B63" s="99">
        <v>173</v>
      </c>
      <c r="C63" s="63" t="str">
        <f>VLOOKUP(B63,STARTOVKA,2,0)</f>
        <v>SVK19970117</v>
      </c>
      <c r="D63" s="64" t="str">
        <f>VLOOKUP(B63,STARTOVKA,3,0)</f>
        <v>PORUBAN Dominik</v>
      </c>
      <c r="E63" s="65" t="str">
        <f>VLOOKUP(B63,STARTOVKA,4,0)</f>
        <v xml:space="preserve">SLOVAK CYCLING FEDERATION </v>
      </c>
      <c r="F63" s="66">
        <f>VLOOKUP(B63,STARTOVKA,5,0)</f>
        <v>6477</v>
      </c>
      <c r="G63" s="67" t="str">
        <f>VLOOKUP(B63,STARTOVKA,6,0)</f>
        <v>JUNIOR*</v>
      </c>
      <c r="H63" s="67" t="str">
        <f>VLOOKUP(B63,STARTOVKA,7,0)</f>
        <v>SVK</v>
      </c>
      <c r="I63" s="68">
        <v>7.9293981481481479E-2</v>
      </c>
      <c r="J63" s="31">
        <f>I63-$I$12</f>
        <v>2.372685185185186E-3</v>
      </c>
      <c r="K63" s="31">
        <f>M63+N63</f>
        <v>0</v>
      </c>
      <c r="M63" s="31"/>
      <c r="N63" s="31"/>
      <c r="O63" s="31">
        <f>VLOOKUP(B63,AFTER2,8,0)</f>
        <v>8.6038576388888899E-2</v>
      </c>
      <c r="P63" s="150">
        <f t="shared" si="1"/>
        <v>0.16533255787037038</v>
      </c>
      <c r="R63" s="158">
        <v>173</v>
      </c>
      <c r="S63" s="159">
        <v>52</v>
      </c>
      <c r="T63" s="157">
        <f t="shared" si="0"/>
        <v>173</v>
      </c>
      <c r="U63" s="160">
        <v>1</v>
      </c>
      <c r="V63" s="161">
        <v>81</v>
      </c>
      <c r="W63" s="157">
        <f>SUMIF(T:T,V:V,U:U)</f>
        <v>1</v>
      </c>
    </row>
    <row r="64" spans="1:23" s="69" customFormat="1" ht="13.7" customHeight="1" x14ac:dyDescent="0.25">
      <c r="A64" s="53">
        <v>53</v>
      </c>
      <c r="B64" s="99">
        <v>154</v>
      </c>
      <c r="C64" s="63" t="str">
        <f>VLOOKUP(B64,STARTOVKA,2,0)</f>
        <v>CZE19970227</v>
      </c>
      <c r="D64" s="64" t="str">
        <f>VLOOKUP(B64,STARTOVKA,3,0)</f>
        <v>PAVKA Filip</v>
      </c>
      <c r="E64" s="65" t="str">
        <f>VLOOKUP(B64,STARTOVKA,4,0)</f>
        <v>STEVENS ZNOJMO</v>
      </c>
      <c r="F64" s="66">
        <f>VLOOKUP(B64,STARTOVKA,5,0)</f>
        <v>20126</v>
      </c>
      <c r="G64" s="67" t="str">
        <f>VLOOKUP(B64,STARTOVKA,6,0)</f>
        <v>JUNIOR*</v>
      </c>
      <c r="H64" s="67" t="str">
        <f>VLOOKUP(B64,STARTOVKA,7,0)</f>
        <v>SKC</v>
      </c>
      <c r="I64" s="68">
        <v>7.9293981481481479E-2</v>
      </c>
      <c r="J64" s="31">
        <f>I64-$I$12</f>
        <v>2.372685185185186E-3</v>
      </c>
      <c r="K64" s="31">
        <f>M64+N64</f>
        <v>0</v>
      </c>
      <c r="M64" s="31"/>
      <c r="N64" s="31"/>
      <c r="O64" s="31">
        <f>VLOOKUP(B64,AFTER2,8,0)</f>
        <v>8.627895833333335E-2</v>
      </c>
      <c r="P64" s="150">
        <f t="shared" si="1"/>
        <v>0.16557293981481483</v>
      </c>
      <c r="R64" s="158">
        <v>154</v>
      </c>
      <c r="S64" s="159">
        <v>53</v>
      </c>
      <c r="T64" s="157">
        <f t="shared" si="0"/>
        <v>154</v>
      </c>
      <c r="U64" s="160">
        <v>1</v>
      </c>
      <c r="V64" s="161">
        <v>82</v>
      </c>
      <c r="W64" s="157">
        <f>SUMIF(T:T,V:V,U:U)</f>
        <v>1</v>
      </c>
    </row>
    <row r="65" spans="1:23" s="69" customFormat="1" ht="13.7" customHeight="1" x14ac:dyDescent="0.25">
      <c r="A65" s="53">
        <v>54</v>
      </c>
      <c r="B65" s="99">
        <v>51</v>
      </c>
      <c r="C65" s="63" t="str">
        <f>VLOOKUP(B65,STARTOVKA,2,0)</f>
        <v>CZE19980726</v>
      </c>
      <c r="D65" s="64" t="str">
        <f>VLOOKUP(B65,STARTOVKA,3,0)</f>
        <v xml:space="preserve">POKORNÝ Petr </v>
      </c>
      <c r="E65" s="65" t="str">
        <f>VLOOKUP(B65,STARTOVKA,4,0)</f>
        <v xml:space="preserve">ACK STARÁ VES NAD ONDŘEJNICÍ </v>
      </c>
      <c r="F65" s="66">
        <f>VLOOKUP(B65,STARTOVKA,5,0)</f>
        <v>9870</v>
      </c>
      <c r="G65" s="67" t="str">
        <f>VLOOKUP(B65,STARTOVKA,6,0)</f>
        <v>CADET</v>
      </c>
      <c r="H65" s="67" t="str">
        <f>VLOOKUP(B65,STARTOVKA,7,0)</f>
        <v>GLI</v>
      </c>
      <c r="I65" s="68">
        <v>7.9293981481481479E-2</v>
      </c>
      <c r="J65" s="31">
        <f>I65-$I$12</f>
        <v>2.372685185185186E-3</v>
      </c>
      <c r="K65" s="31">
        <f>M65+N65</f>
        <v>0</v>
      </c>
      <c r="M65" s="31"/>
      <c r="N65" s="31"/>
      <c r="O65" s="31">
        <f>VLOOKUP(B65,AFTER2,8,0)</f>
        <v>8.6007777777777766E-2</v>
      </c>
      <c r="P65" s="150">
        <f t="shared" si="1"/>
        <v>0.16530175925925925</v>
      </c>
      <c r="R65" s="158">
        <v>51</v>
      </c>
      <c r="S65" s="159">
        <v>54</v>
      </c>
      <c r="T65" s="157">
        <f t="shared" si="0"/>
        <v>51</v>
      </c>
      <c r="U65" s="160">
        <v>1</v>
      </c>
      <c r="V65" s="161">
        <v>83</v>
      </c>
      <c r="W65" s="157">
        <f>SUMIF(T:T,V:V,U:U)</f>
        <v>1</v>
      </c>
    </row>
    <row r="66" spans="1:23" s="69" customFormat="1" ht="13.7" customHeight="1" x14ac:dyDescent="0.25">
      <c r="A66" s="53">
        <v>55</v>
      </c>
      <c r="B66" s="99">
        <v>42</v>
      </c>
      <c r="C66" s="63" t="str">
        <f>VLOOKUP(B66,STARTOVKA,2,0)</f>
        <v>CZE19961125</v>
      </c>
      <c r="D66" s="64" t="str">
        <f>VLOOKUP(B66,STARTOVKA,3,0)</f>
        <v xml:space="preserve">ANDRŠ Jakub </v>
      </c>
      <c r="E66" s="65" t="str">
        <f>VLOOKUP(B66,STARTOVKA,4,0)</f>
        <v>KC KOOPERATIVA SG JABLONEC N.N</v>
      </c>
      <c r="F66" s="66">
        <f>VLOOKUP(B66,STARTOVKA,5,0)</f>
        <v>12251</v>
      </c>
      <c r="G66" s="67" t="str">
        <f>VLOOKUP(B66,STARTOVKA,6,0)</f>
        <v>JUNIOR</v>
      </c>
      <c r="H66" s="67" t="str">
        <f>VLOOKUP(B66,STARTOVKA,7,0)</f>
        <v>KOO</v>
      </c>
      <c r="I66" s="68">
        <v>7.9293981481481479E-2</v>
      </c>
      <c r="J66" s="31">
        <f>I66-$I$12</f>
        <v>2.372685185185186E-3</v>
      </c>
      <c r="K66" s="31">
        <f>M66+N66</f>
        <v>0</v>
      </c>
      <c r="M66" s="31"/>
      <c r="N66" s="31"/>
      <c r="O66" s="31">
        <f>VLOOKUP(B66,AFTER2,8,0)</f>
        <v>8.6282696759259286E-2</v>
      </c>
      <c r="P66" s="150">
        <f t="shared" si="1"/>
        <v>0.16557667824074077</v>
      </c>
      <c r="R66" s="158">
        <v>42</v>
      </c>
      <c r="S66" s="159">
        <v>55</v>
      </c>
      <c r="T66" s="157">
        <f t="shared" si="0"/>
        <v>42</v>
      </c>
      <c r="U66" s="160">
        <v>1</v>
      </c>
      <c r="V66" s="161">
        <v>84</v>
      </c>
      <c r="W66" s="157">
        <f>SUMIF(T:T,V:V,U:U)</f>
        <v>1</v>
      </c>
    </row>
    <row r="67" spans="1:23" s="69" customFormat="1" ht="13.7" customHeight="1" x14ac:dyDescent="0.25">
      <c r="A67" s="53">
        <v>56</v>
      </c>
      <c r="B67" s="99">
        <v>22</v>
      </c>
      <c r="C67" s="63" t="str">
        <f>VLOOKUP(B67,STARTOVKA,2,0)</f>
        <v>GER19980505</v>
      </c>
      <c r="D67" s="64" t="str">
        <f>VLOOKUP(B67,STARTOVKA,3,0)</f>
        <v>HAUPT Tarik</v>
      </c>
      <c r="E67" s="65" t="str">
        <f>VLOOKUP(B67,STARTOVKA,4,0)</f>
        <v>RG BERLIN</v>
      </c>
      <c r="F67" s="66" t="str">
        <f>VLOOKUP(B67,STARTOVKA,5,0)</f>
        <v>BER 032308</v>
      </c>
      <c r="G67" s="67" t="str">
        <f>VLOOKUP(B67,STARTOVKA,6,0)</f>
        <v>CADET</v>
      </c>
      <c r="H67" s="67" t="str">
        <f>VLOOKUP(B67,STARTOVKA,7,0)</f>
        <v>RGB</v>
      </c>
      <c r="I67" s="68">
        <v>7.9293981481481479E-2</v>
      </c>
      <c r="J67" s="31">
        <f>I67-$I$12</f>
        <v>2.372685185185186E-3</v>
      </c>
      <c r="K67" s="31">
        <f>M67+N67</f>
        <v>0</v>
      </c>
      <c r="M67" s="31"/>
      <c r="N67" s="31"/>
      <c r="O67" s="31">
        <f>VLOOKUP(B67,AFTER2,8,0)</f>
        <v>8.5732754629629676E-2</v>
      </c>
      <c r="P67" s="150">
        <f t="shared" si="1"/>
        <v>0.16502673611111116</v>
      </c>
      <c r="R67" s="158">
        <v>22</v>
      </c>
      <c r="S67" s="159">
        <v>56</v>
      </c>
      <c r="T67" s="157">
        <f t="shared" si="0"/>
        <v>22</v>
      </c>
      <c r="U67" s="160">
        <v>1</v>
      </c>
      <c r="V67" s="161">
        <v>85</v>
      </c>
      <c r="W67" s="157">
        <f>SUMIF(T:T,V:V,U:U)</f>
        <v>1</v>
      </c>
    </row>
    <row r="68" spans="1:23" s="69" customFormat="1" ht="13.7" customHeight="1" x14ac:dyDescent="0.25">
      <c r="A68" s="53">
        <v>57</v>
      </c>
      <c r="B68" s="99">
        <v>44</v>
      </c>
      <c r="C68" s="63" t="str">
        <f>VLOOKUP(B68,STARTOVKA,2,0)</f>
        <v>CZE19960213</v>
      </c>
      <c r="D68" s="64" t="str">
        <f>VLOOKUP(B68,STARTOVKA,3,0)</f>
        <v xml:space="preserve">JUREČKA Jiří </v>
      </c>
      <c r="E68" s="65" t="str">
        <f>VLOOKUP(B68,STARTOVKA,4,0)</f>
        <v>KC KOOPERATIVA SG JABLONEC N.N</v>
      </c>
      <c r="F68" s="66">
        <f>VLOOKUP(B68,STARTOVKA,5,0)</f>
        <v>5366</v>
      </c>
      <c r="G68" s="67" t="str">
        <f>VLOOKUP(B68,STARTOVKA,6,0)</f>
        <v>JUNIOR</v>
      </c>
      <c r="H68" s="67" t="str">
        <f>VLOOKUP(B68,STARTOVKA,7,0)</f>
        <v>KOO</v>
      </c>
      <c r="I68" s="68">
        <v>7.9293981481481479E-2</v>
      </c>
      <c r="J68" s="31">
        <f>I68-$I$12</f>
        <v>2.372685185185186E-3</v>
      </c>
      <c r="K68" s="31">
        <f>M68+N68</f>
        <v>0</v>
      </c>
      <c r="M68" s="31"/>
      <c r="N68" s="31"/>
      <c r="O68" s="31">
        <f>VLOOKUP(B68,AFTER2,8,0)</f>
        <v>8.5698576388888878E-2</v>
      </c>
      <c r="P68" s="150">
        <f t="shared" si="1"/>
        <v>0.16499255787037037</v>
      </c>
      <c r="R68" s="158">
        <v>44</v>
      </c>
      <c r="S68" s="159">
        <v>57</v>
      </c>
      <c r="T68" s="157">
        <f t="shared" si="0"/>
        <v>44</v>
      </c>
      <c r="U68" s="160">
        <v>1</v>
      </c>
      <c r="V68" s="161">
        <v>93</v>
      </c>
      <c r="W68" s="157">
        <f>SUMIF(T:T,V:V,U:U)</f>
        <v>1</v>
      </c>
    </row>
    <row r="69" spans="1:23" s="69" customFormat="1" ht="13.7" customHeight="1" x14ac:dyDescent="0.25">
      <c r="A69" s="53">
        <v>58</v>
      </c>
      <c r="B69" s="99">
        <v>16</v>
      </c>
      <c r="C69" s="63" t="str">
        <f>VLOOKUP(B69,STARTOVKA,2,0)</f>
        <v>GER19981217</v>
      </c>
      <c r="D69" s="64" t="str">
        <f>VLOOKUP(B69,STARTOVKA,3,0)</f>
        <v>ZÖTTLER Jacob</v>
      </c>
      <c r="E69" s="65" t="str">
        <f>VLOOKUP(B69,STARTOVKA,4,0)</f>
        <v>JUNIOREN SCHWALBE TEAM SACHSEN</v>
      </c>
      <c r="F69" s="66" t="str">
        <f>VLOOKUP(B69,STARTOVKA,5,0)</f>
        <v>SAC 135443</v>
      </c>
      <c r="G69" s="67" t="str">
        <f>VLOOKUP(B69,STARTOVKA,6,0)</f>
        <v>CADET</v>
      </c>
      <c r="H69" s="67" t="str">
        <f>VLOOKUP(B69,STARTOVKA,7,0)</f>
        <v>SCW</v>
      </c>
      <c r="I69" s="68">
        <v>7.9293981481481479E-2</v>
      </c>
      <c r="J69" s="31">
        <f>I69-$I$12</f>
        <v>2.372685185185186E-3</v>
      </c>
      <c r="K69" s="31">
        <f>M69+N69</f>
        <v>0</v>
      </c>
      <c r="M69" s="31"/>
      <c r="N69" s="31"/>
      <c r="O69" s="31">
        <f>VLOOKUP(B69,AFTER2,8,0)</f>
        <v>8.6200856481481472E-2</v>
      </c>
      <c r="P69" s="150">
        <f t="shared" si="1"/>
        <v>0.16549483796296294</v>
      </c>
      <c r="R69" s="158">
        <v>16</v>
      </c>
      <c r="S69" s="159">
        <v>58</v>
      </c>
      <c r="T69" s="157">
        <f t="shared" si="0"/>
        <v>16</v>
      </c>
      <c r="U69" s="160">
        <v>1</v>
      </c>
      <c r="V69" s="161">
        <v>94</v>
      </c>
      <c r="W69" s="157">
        <f>SUMIF(T:T,V:V,U:U)</f>
        <v>1</v>
      </c>
    </row>
    <row r="70" spans="1:23" s="69" customFormat="1" ht="13.7" customHeight="1" x14ac:dyDescent="0.25">
      <c r="A70" s="53">
        <v>59</v>
      </c>
      <c r="B70" s="221">
        <v>12</v>
      </c>
      <c r="C70" s="63" t="str">
        <f>VLOOKUP(B70,STARTOVKA,2,0)</f>
        <v>GER19960405</v>
      </c>
      <c r="D70" s="64" t="str">
        <f>VLOOKUP(B70,STARTOVKA,3,0)</f>
        <v>WITTE Reinhard</v>
      </c>
      <c r="E70" s="65" t="str">
        <f>VLOOKUP(B70,STARTOVKA,4,0)</f>
        <v>JUNIOREN SCHWALBE TEAM SACHSEN</v>
      </c>
      <c r="F70" s="66" t="str">
        <f>VLOOKUP(B70,STARTOVKA,5,0)</f>
        <v>SAC 141671</v>
      </c>
      <c r="G70" s="67" t="str">
        <f>VLOOKUP(B70,STARTOVKA,6,0)</f>
        <v>JUNIOR</v>
      </c>
      <c r="H70" s="67" t="str">
        <f>VLOOKUP(B70,STARTOVKA,7,0)</f>
        <v>SCW</v>
      </c>
      <c r="I70" s="68">
        <v>7.9293981481481479E-2</v>
      </c>
      <c r="J70" s="31">
        <f>I70-$I$12</f>
        <v>2.372685185185186E-3</v>
      </c>
      <c r="K70" s="31">
        <f>M70+N70</f>
        <v>0</v>
      </c>
      <c r="M70" s="31"/>
      <c r="N70" s="31"/>
      <c r="O70" s="31">
        <f>VLOOKUP(B70,AFTER2,8,0)</f>
        <v>8.5881620370370379E-2</v>
      </c>
      <c r="P70" s="150">
        <f t="shared" si="1"/>
        <v>0.16517560185185187</v>
      </c>
      <c r="R70" s="158">
        <v>12</v>
      </c>
      <c r="S70" s="159">
        <v>59</v>
      </c>
      <c r="T70" s="157">
        <f t="shared" si="0"/>
        <v>12</v>
      </c>
      <c r="U70" s="160">
        <v>1</v>
      </c>
      <c r="V70" s="161">
        <v>95</v>
      </c>
      <c r="W70" s="157">
        <f>SUMIF(T:T,V:V,U:U)</f>
        <v>1</v>
      </c>
    </row>
    <row r="71" spans="1:23" s="69" customFormat="1" ht="13.7" customHeight="1" x14ac:dyDescent="0.25">
      <c r="A71" s="53">
        <v>60</v>
      </c>
      <c r="B71" s="99">
        <v>71</v>
      </c>
      <c r="C71" s="63" t="str">
        <f>VLOOKUP(B71,STARTOVKA,2,0)</f>
        <v>SVK19970730</v>
      </c>
      <c r="D71" s="64" t="str">
        <f>VLOOKUP(B71,STARTOVKA,3,0)</f>
        <v>MEŇUŠ Tomáš</v>
      </c>
      <c r="E71" s="65" t="str">
        <f>VLOOKUP(B71,STARTOVKA,4,0)</f>
        <v>CYCLING ACADEMY BRATISLAVA</v>
      </c>
      <c r="F71" s="66">
        <f>VLOOKUP(B71,STARTOVKA,5,0)</f>
        <v>6668</v>
      </c>
      <c r="G71" s="67" t="str">
        <f>VLOOKUP(B71,STARTOVKA,6,0)</f>
        <v>JUNIOR*</v>
      </c>
      <c r="H71" s="67" t="str">
        <f>VLOOKUP(B71,STARTOVKA,7,0)</f>
        <v>SLA</v>
      </c>
      <c r="I71" s="68">
        <v>7.9293981481481479E-2</v>
      </c>
      <c r="J71" s="31">
        <f>I71-$I$12</f>
        <v>2.372685185185186E-3</v>
      </c>
      <c r="K71" s="31">
        <f>M71+N71</f>
        <v>0</v>
      </c>
      <c r="M71" s="31"/>
      <c r="N71" s="31"/>
      <c r="O71" s="31">
        <f>VLOOKUP(B71,AFTER2,8,0)</f>
        <v>8.6017662037037035E-2</v>
      </c>
      <c r="P71" s="150">
        <f t="shared" si="1"/>
        <v>0.16531164351851851</v>
      </c>
      <c r="R71" s="158">
        <v>71</v>
      </c>
      <c r="S71" s="159">
        <v>60</v>
      </c>
      <c r="T71" s="157">
        <f t="shared" si="0"/>
        <v>71</v>
      </c>
      <c r="U71" s="160">
        <v>1</v>
      </c>
      <c r="V71" s="161">
        <v>96</v>
      </c>
      <c r="W71" s="157">
        <f>SUMIF(T:T,V:V,U:U)</f>
        <v>1</v>
      </c>
    </row>
    <row r="72" spans="1:23" s="69" customFormat="1" ht="13.7" customHeight="1" x14ac:dyDescent="0.25">
      <c r="A72" s="53">
        <v>61</v>
      </c>
      <c r="B72" s="99">
        <v>147</v>
      </c>
      <c r="C72" s="63" t="str">
        <f>VLOOKUP(B72,STARTOVKA,2,0)</f>
        <v>CZE19960618</v>
      </c>
      <c r="D72" s="64" t="str">
        <f>VLOOKUP(B72,STARTOVKA,3,0)</f>
        <v xml:space="preserve">PETRUŠ Jiří </v>
      </c>
      <c r="E72" s="65" t="str">
        <f>VLOOKUP(B72,STARTOVKA,4,0)</f>
        <v xml:space="preserve">MAPEI CYKLO KAŇKOVSKÝ </v>
      </c>
      <c r="F72" s="66">
        <f>VLOOKUP(B72,STARTOVKA,5,0)</f>
        <v>12841</v>
      </c>
      <c r="G72" s="67" t="str">
        <f>VLOOKUP(B72,STARTOVKA,6,0)</f>
        <v>JUNIOR</v>
      </c>
      <c r="H72" s="67" t="str">
        <f>VLOOKUP(B72,STARTOVKA,7,0)</f>
        <v>MAP</v>
      </c>
      <c r="I72" s="68">
        <v>7.9293981481481479E-2</v>
      </c>
      <c r="J72" s="31">
        <f>I72-$I$12</f>
        <v>2.372685185185186E-3</v>
      </c>
      <c r="K72" s="31">
        <f>M72+N72</f>
        <v>0</v>
      </c>
      <c r="M72" s="31"/>
      <c r="N72" s="31"/>
      <c r="O72" s="31">
        <f>VLOOKUP(B72,AFTER2,8,0)</f>
        <v>8.5832569444444395E-2</v>
      </c>
      <c r="P72" s="150">
        <f t="shared" si="1"/>
        <v>0.16512655092592587</v>
      </c>
      <c r="R72" s="158">
        <v>147</v>
      </c>
      <c r="S72" s="159">
        <v>61</v>
      </c>
      <c r="T72" s="157">
        <f t="shared" si="0"/>
        <v>147</v>
      </c>
      <c r="U72" s="160">
        <v>1</v>
      </c>
      <c r="V72" s="161">
        <v>97</v>
      </c>
      <c r="W72" s="157">
        <f>SUMIF(T:T,V:V,U:U)</f>
        <v>1</v>
      </c>
    </row>
    <row r="73" spans="1:23" s="69" customFormat="1" ht="13.7" customHeight="1" x14ac:dyDescent="0.25">
      <c r="A73" s="53">
        <v>62</v>
      </c>
      <c r="B73" s="99">
        <v>136</v>
      </c>
      <c r="C73" s="63" t="str">
        <f>VLOOKUP(B73,STARTOVKA,2,0)</f>
        <v>AUT19970822</v>
      </c>
      <c r="D73" s="64" t="str">
        <f>VLOOKUP(B73,STARTOVKA,3,0)</f>
        <v>STEINDLER Julian</v>
      </c>
      <c r="E73" s="65" t="str">
        <f>VLOOKUP(B73,STARTOVKA,4,0)</f>
        <v>RC ARBÖ WELS GOURMETFEIN</v>
      </c>
      <c r="F73" s="66">
        <f>VLOOKUP(B73,STARTOVKA,5,0)</f>
        <v>100089</v>
      </c>
      <c r="G73" s="67" t="str">
        <f>VLOOKUP(B73,STARTOVKA,6,0)</f>
        <v>JUNIOR*</v>
      </c>
      <c r="H73" s="67" t="str">
        <f>VLOOKUP(B73,STARTOVKA,7,0)</f>
        <v>RCA</v>
      </c>
      <c r="I73" s="68">
        <v>7.9293981481481479E-2</v>
      </c>
      <c r="J73" s="31">
        <f>I73-$I$12</f>
        <v>2.372685185185186E-3</v>
      </c>
      <c r="K73" s="31">
        <f>M73+N73</f>
        <v>0</v>
      </c>
      <c r="M73" s="31"/>
      <c r="N73" s="31"/>
      <c r="O73" s="31">
        <f>VLOOKUP(B73,AFTER2,8,0)</f>
        <v>8.6068437500000039E-2</v>
      </c>
      <c r="P73" s="150">
        <f t="shared" si="1"/>
        <v>0.16536241898148152</v>
      </c>
      <c r="R73" s="158">
        <v>136</v>
      </c>
      <c r="S73" s="159">
        <v>62</v>
      </c>
      <c r="T73" s="157">
        <f t="shared" si="0"/>
        <v>136</v>
      </c>
      <c r="U73" s="160">
        <v>1</v>
      </c>
      <c r="V73" s="161">
        <v>101</v>
      </c>
      <c r="W73" s="157">
        <f>SUMIF(T:T,V:V,U:U)</f>
        <v>1</v>
      </c>
    </row>
    <row r="74" spans="1:23" s="69" customFormat="1" ht="13.7" customHeight="1" x14ac:dyDescent="0.25">
      <c r="A74" s="53">
        <v>63</v>
      </c>
      <c r="B74" s="99">
        <v>94</v>
      </c>
      <c r="C74" s="63" t="str">
        <f>VLOOKUP(B74,STARTOVKA,2,0)</f>
        <v>CZE19970127</v>
      </c>
      <c r="D74" s="64" t="str">
        <f>VLOOKUP(B74,STARTOVKA,3,0)</f>
        <v xml:space="preserve">KOTOUČEK Matěj </v>
      </c>
      <c r="E74" s="65" t="str">
        <f>VLOOKUP(B74,STARTOVKA,4,0)</f>
        <v xml:space="preserve">TJ FAVORIT BRNO </v>
      </c>
      <c r="F74" s="66">
        <f>VLOOKUP(B74,STARTOVKA,5,0)</f>
        <v>9917</v>
      </c>
      <c r="G74" s="67" t="str">
        <f>VLOOKUP(B74,STARTOVKA,6,0)</f>
        <v>JUNIOR*</v>
      </c>
      <c r="H74" s="67" t="str">
        <f>VLOOKUP(B74,STARTOVKA,7,0)</f>
        <v>FAV</v>
      </c>
      <c r="I74" s="68">
        <v>7.9293981481481479E-2</v>
      </c>
      <c r="J74" s="31">
        <f>I74-$I$12</f>
        <v>2.372685185185186E-3</v>
      </c>
      <c r="K74" s="31">
        <f>M74+N74</f>
        <v>0</v>
      </c>
      <c r="M74" s="31"/>
      <c r="N74" s="31"/>
      <c r="O74" s="31">
        <f>VLOOKUP(B74,AFTER2,8,0)</f>
        <v>8.546843749999998E-2</v>
      </c>
      <c r="P74" s="150">
        <f t="shared" si="1"/>
        <v>0.16476241898148147</v>
      </c>
      <c r="R74" s="158">
        <v>94</v>
      </c>
      <c r="S74" s="159">
        <v>63</v>
      </c>
      <c r="T74" s="157">
        <f t="shared" si="0"/>
        <v>94</v>
      </c>
      <c r="U74" s="160">
        <v>1</v>
      </c>
      <c r="V74" s="161">
        <v>103</v>
      </c>
      <c r="W74" s="157">
        <f>SUMIF(T:T,V:V,U:U)</f>
        <v>1</v>
      </c>
    </row>
    <row r="75" spans="1:23" s="69" customFormat="1" ht="13.7" customHeight="1" x14ac:dyDescent="0.25">
      <c r="A75" s="53">
        <v>64</v>
      </c>
      <c r="B75" s="99">
        <v>62</v>
      </c>
      <c r="C75" s="63" t="str">
        <f>VLOOKUP(B75,STARTOVKA,2,0)</f>
        <v>POL19970228</v>
      </c>
      <c r="D75" s="64" t="str">
        <f>VLOOKUP(B75,STARTOVKA,3,0)</f>
        <v>SKIBIŃSKI Krzysztof</v>
      </c>
      <c r="E75" s="65" t="str">
        <f>VLOOKUP(B75,STARTOVKA,4,0)</f>
        <v xml:space="preserve">DSR AUTHOR GÓRNIK WAŁBRZYCH </v>
      </c>
      <c r="F75" s="66" t="str">
        <f>VLOOKUP(B75,STARTOVKA,5,0)</f>
        <v>DLS161</v>
      </c>
      <c r="G75" s="67" t="str">
        <f>VLOOKUP(B75,STARTOVKA,6,0)</f>
        <v>JUNIOR*</v>
      </c>
      <c r="H75" s="67" t="str">
        <f>VLOOKUP(B75,STARTOVKA,7,0)</f>
        <v>GOR</v>
      </c>
      <c r="I75" s="68">
        <v>7.9293981481481479E-2</v>
      </c>
      <c r="J75" s="31">
        <f>I75-$I$12</f>
        <v>2.372685185185186E-3</v>
      </c>
      <c r="K75" s="31">
        <f>M75+N75</f>
        <v>0</v>
      </c>
      <c r="M75" s="31"/>
      <c r="N75" s="31"/>
      <c r="O75" s="31">
        <f>VLOOKUP(B75,AFTER2,8,0)</f>
        <v>8.5214537037037019E-2</v>
      </c>
      <c r="P75" s="150">
        <f t="shared" si="1"/>
        <v>0.1645085185185185</v>
      </c>
      <c r="R75" s="158">
        <v>62</v>
      </c>
      <c r="S75" s="159">
        <v>64</v>
      </c>
      <c r="T75" s="157">
        <f t="shared" si="0"/>
        <v>62</v>
      </c>
      <c r="U75" s="160">
        <v>1</v>
      </c>
      <c r="V75" s="161">
        <v>105</v>
      </c>
      <c r="W75" s="157">
        <f>SUMIF(T:T,V:V,U:U)</f>
        <v>1</v>
      </c>
    </row>
    <row r="76" spans="1:23" s="69" customFormat="1" ht="13.7" customHeight="1" x14ac:dyDescent="0.25">
      <c r="A76" s="53">
        <v>65</v>
      </c>
      <c r="B76" s="99">
        <v>134</v>
      </c>
      <c r="C76" s="63" t="str">
        <f>VLOOKUP(B76,STARTOVKA,2,0)</f>
        <v>AUT19960910</v>
      </c>
      <c r="D76" s="64" t="str">
        <f>VLOOKUP(B76,STARTOVKA,3,0)</f>
        <v>HUBER Marcel</v>
      </c>
      <c r="E76" s="65" t="str">
        <f>VLOOKUP(B76,STARTOVKA,4,0)</f>
        <v>RC ARBÖ WELS GOURMETFEIN</v>
      </c>
      <c r="F76" s="66">
        <f>VLOOKUP(B76,STARTOVKA,5,0)</f>
        <v>100090</v>
      </c>
      <c r="G76" s="67" t="str">
        <f>VLOOKUP(B76,STARTOVKA,6,0)</f>
        <v>JUNIOR</v>
      </c>
      <c r="H76" s="67" t="str">
        <f>VLOOKUP(B76,STARTOVKA,7,0)</f>
        <v>RCA</v>
      </c>
      <c r="I76" s="68">
        <v>7.9606481481481486E-2</v>
      </c>
      <c r="J76" s="31">
        <f>I76-$I$12</f>
        <v>2.6851851851851932E-3</v>
      </c>
      <c r="K76" s="31">
        <f>M76+N76</f>
        <v>0</v>
      </c>
      <c r="M76" s="31"/>
      <c r="N76" s="31"/>
      <c r="O76" s="31">
        <f>VLOOKUP(B76,AFTER2,8,0)</f>
        <v>8.556276620370365E-2</v>
      </c>
      <c r="P76" s="150">
        <f t="shared" si="1"/>
        <v>0.16516924768518515</v>
      </c>
      <c r="R76" s="158">
        <v>134</v>
      </c>
      <c r="S76" s="159">
        <v>65</v>
      </c>
      <c r="T76" s="157">
        <f t="shared" si="0"/>
        <v>134</v>
      </c>
      <c r="U76" s="160">
        <v>1</v>
      </c>
      <c r="V76" s="161">
        <v>106</v>
      </c>
      <c r="W76" s="157">
        <f>SUMIF(T:T,V:V,U:U)</f>
        <v>1</v>
      </c>
    </row>
    <row r="77" spans="1:23" s="69" customFormat="1" ht="13.7" customHeight="1" x14ac:dyDescent="0.25">
      <c r="A77" s="53">
        <v>66</v>
      </c>
      <c r="B77" s="99">
        <v>141</v>
      </c>
      <c r="C77" s="63" t="str">
        <f>VLOOKUP(B77,STARTOVKA,2,0)</f>
        <v>CZE19960716</v>
      </c>
      <c r="D77" s="64" t="str">
        <f>VLOOKUP(B77,STARTOVKA,3,0)</f>
        <v xml:space="preserve">HYNEK Matouš </v>
      </c>
      <c r="E77" s="65" t="str">
        <f>VLOOKUP(B77,STARTOVKA,4,0)</f>
        <v xml:space="preserve">MAPEI CYKLO KAŇKOVSKÝ </v>
      </c>
      <c r="F77" s="66">
        <f>VLOOKUP(B77,STARTOVKA,5,0)</f>
        <v>7803</v>
      </c>
      <c r="G77" s="67" t="str">
        <f>VLOOKUP(B77,STARTOVKA,6,0)</f>
        <v>JUNIOR</v>
      </c>
      <c r="H77" s="67" t="str">
        <f>VLOOKUP(B77,STARTOVKA,7,0)</f>
        <v>MAP</v>
      </c>
      <c r="I77" s="68">
        <v>7.9687500000000008E-2</v>
      </c>
      <c r="J77" s="31">
        <f>I77-$I$12</f>
        <v>2.7662037037037152E-3</v>
      </c>
      <c r="K77" s="31">
        <f>M77+N77</f>
        <v>0</v>
      </c>
      <c r="M77" s="31"/>
      <c r="N77" s="31"/>
      <c r="O77" s="31">
        <f>VLOOKUP(B77,AFTER2,8,0)</f>
        <v>8.6627511574074084E-2</v>
      </c>
      <c r="P77" s="150">
        <f t="shared" si="1"/>
        <v>0.16631501157407408</v>
      </c>
      <c r="R77" s="158">
        <v>141</v>
      </c>
      <c r="S77" s="159">
        <v>66</v>
      </c>
      <c r="T77" s="157">
        <f t="shared" ref="T77:T128" si="2">IF(R77&lt;&gt;"",R77,"")</f>
        <v>141</v>
      </c>
      <c r="U77" s="160">
        <v>1</v>
      </c>
      <c r="V77" s="161">
        <v>107</v>
      </c>
      <c r="W77" s="157">
        <f>SUMIF(T:T,V:V,U:U)</f>
        <v>1</v>
      </c>
    </row>
    <row r="78" spans="1:23" s="69" customFormat="1" ht="13.7" customHeight="1" x14ac:dyDescent="0.25">
      <c r="A78" s="53">
        <v>67</v>
      </c>
      <c r="B78" s="99">
        <v>50</v>
      </c>
      <c r="C78" s="63" t="str">
        <f>VLOOKUP(B78,STARTOVKA,2,0)</f>
        <v>CZE19960203</v>
      </c>
      <c r="D78" s="64" t="str">
        <f>VLOOKUP(B78,STARTOVKA,3,0)</f>
        <v xml:space="preserve">VRÁNA Dominik </v>
      </c>
      <c r="E78" s="65" t="str">
        <f>VLOOKUP(B78,STARTOVKA,4,0)</f>
        <v>KC KOOPERATIVA SG JABLONEC N.N</v>
      </c>
      <c r="F78" s="66">
        <f>VLOOKUP(B78,STARTOVKA,5,0)</f>
        <v>8884</v>
      </c>
      <c r="G78" s="67" t="str">
        <f>VLOOKUP(B78,STARTOVKA,6,0)</f>
        <v>JUNIOR</v>
      </c>
      <c r="H78" s="67" t="str">
        <f>VLOOKUP(B78,STARTOVKA,7,0)</f>
        <v>KOO</v>
      </c>
      <c r="I78" s="68">
        <v>7.9768518518518516E-2</v>
      </c>
      <c r="J78" s="31">
        <f>I78-$I$12</f>
        <v>2.8472222222222232E-3</v>
      </c>
      <c r="K78" s="31">
        <f>M78+N78</f>
        <v>0</v>
      </c>
      <c r="M78" s="31"/>
      <c r="N78" s="31"/>
      <c r="O78" s="31">
        <f>VLOOKUP(B78,AFTER2,8,0)</f>
        <v>8.5821192129629686E-2</v>
      </c>
      <c r="P78" s="150">
        <f t="shared" ref="P78:P128" si="3">I78-K78+O78</f>
        <v>0.1655897106481482</v>
      </c>
      <c r="R78" s="158">
        <v>50</v>
      </c>
      <c r="S78" s="159">
        <v>67</v>
      </c>
      <c r="T78" s="157">
        <f t="shared" si="2"/>
        <v>50</v>
      </c>
      <c r="U78" s="160">
        <v>1</v>
      </c>
      <c r="V78" s="161">
        <v>111</v>
      </c>
      <c r="W78" s="157">
        <f>SUMIF(T:T,V:V,U:U)</f>
        <v>1</v>
      </c>
    </row>
    <row r="79" spans="1:23" s="69" customFormat="1" ht="13.7" customHeight="1" x14ac:dyDescent="0.25">
      <c r="A79" s="53">
        <v>68</v>
      </c>
      <c r="B79" s="99">
        <v>95</v>
      </c>
      <c r="C79" s="63" t="str">
        <f>VLOOKUP(B79,STARTOVKA,2,0)</f>
        <v>CZE19970813</v>
      </c>
      <c r="D79" s="64" t="str">
        <f>VLOOKUP(B79,STARTOVKA,3,0)</f>
        <v xml:space="preserve">LAFUNTÁL Robert </v>
      </c>
      <c r="E79" s="65" t="str">
        <f>VLOOKUP(B79,STARTOVKA,4,0)</f>
        <v xml:space="preserve">TJ FAVORIT BRNO </v>
      </c>
      <c r="F79" s="66">
        <f>VLOOKUP(B79,STARTOVKA,5,0)</f>
        <v>13204</v>
      </c>
      <c r="G79" s="67" t="str">
        <f>VLOOKUP(B79,STARTOVKA,6,0)</f>
        <v>JUNIOR*</v>
      </c>
      <c r="H79" s="67" t="str">
        <f>VLOOKUP(B79,STARTOVKA,7,0)</f>
        <v>FAV</v>
      </c>
      <c r="I79" s="68">
        <v>8.0104166666666657E-2</v>
      </c>
      <c r="J79" s="31">
        <f>I79-$I$12</f>
        <v>3.1828703703703637E-3</v>
      </c>
      <c r="K79" s="31">
        <f>M79+N79</f>
        <v>0</v>
      </c>
      <c r="M79" s="31"/>
      <c r="N79" s="31"/>
      <c r="O79" s="31">
        <f>VLOOKUP(B79,AFTER2,8,0)</f>
        <v>8.567571759259264E-2</v>
      </c>
      <c r="P79" s="150">
        <f t="shared" si="3"/>
        <v>0.1657798842592593</v>
      </c>
      <c r="R79" s="158">
        <v>95</v>
      </c>
      <c r="S79" s="159">
        <v>68</v>
      </c>
      <c r="T79" s="157">
        <f t="shared" si="2"/>
        <v>95</v>
      </c>
      <c r="U79" s="160">
        <v>1</v>
      </c>
      <c r="V79" s="161">
        <v>112</v>
      </c>
      <c r="W79" s="157">
        <f>SUMIF(T:T,V:V,U:U)</f>
        <v>1</v>
      </c>
    </row>
    <row r="80" spans="1:23" s="69" customFormat="1" ht="13.7" customHeight="1" x14ac:dyDescent="0.25">
      <c r="A80" s="53">
        <v>69</v>
      </c>
      <c r="B80" s="99">
        <v>174</v>
      </c>
      <c r="C80" s="63" t="str">
        <f>VLOOKUP(B80,STARTOVKA,2,0)</f>
        <v>SVK19970730</v>
      </c>
      <c r="D80" s="64" t="str">
        <f>VLOOKUP(B80,STARTOVKA,3,0)</f>
        <v>JELŽA Nicolas</v>
      </c>
      <c r="E80" s="65" t="str">
        <f>VLOOKUP(B80,STARTOVKA,4,0)</f>
        <v xml:space="preserve">SLOVAK CYCLING FEDERATION </v>
      </c>
      <c r="F80" s="66">
        <f>VLOOKUP(B80,STARTOVKA,5,0)</f>
        <v>4237</v>
      </c>
      <c r="G80" s="67" t="str">
        <f>VLOOKUP(B80,STARTOVKA,6,0)</f>
        <v>JUNIOR*</v>
      </c>
      <c r="H80" s="67" t="str">
        <f>VLOOKUP(B80,STARTOVKA,7,0)</f>
        <v>SVK</v>
      </c>
      <c r="I80" s="68">
        <v>8.020833333333334E-2</v>
      </c>
      <c r="J80" s="31">
        <f>I80-$I$12</f>
        <v>3.2870370370370466E-3</v>
      </c>
      <c r="K80" s="31">
        <f>M80+N80</f>
        <v>0</v>
      </c>
      <c r="M80" s="31"/>
      <c r="N80" s="31"/>
      <c r="O80" s="31">
        <f>VLOOKUP(B80,AFTER2,8,0)</f>
        <v>8.6216041666666687E-2</v>
      </c>
      <c r="P80" s="150">
        <f t="shared" si="3"/>
        <v>0.16642437500000001</v>
      </c>
      <c r="R80" s="158">
        <v>174</v>
      </c>
      <c r="S80" s="159">
        <v>69</v>
      </c>
      <c r="T80" s="157">
        <f t="shared" si="2"/>
        <v>174</v>
      </c>
      <c r="U80" s="160">
        <v>1</v>
      </c>
      <c r="V80" s="161">
        <v>113</v>
      </c>
      <c r="W80" s="157">
        <f>SUMIF(T:T,V:V,U:U)</f>
        <v>1</v>
      </c>
    </row>
    <row r="81" spans="1:23" s="69" customFormat="1" ht="13.7" customHeight="1" x14ac:dyDescent="0.25">
      <c r="A81" s="53">
        <v>70</v>
      </c>
      <c r="B81" s="99">
        <v>137</v>
      </c>
      <c r="C81" s="63" t="str">
        <f>VLOOKUP(B81,STARTOVKA,2,0)</f>
        <v>AUT19960713</v>
      </c>
      <c r="D81" s="64" t="str">
        <f>VLOOKUP(B81,STARTOVKA,3,0)</f>
        <v>PÖPPL Tobias</v>
      </c>
      <c r="E81" s="65" t="str">
        <f>VLOOKUP(B81,STARTOVKA,4,0)</f>
        <v>RC WALDING</v>
      </c>
      <c r="F81" s="66">
        <f>VLOOKUP(B81,STARTOVKA,5,0)</f>
        <v>100289</v>
      </c>
      <c r="G81" s="67" t="str">
        <f>VLOOKUP(B81,STARTOVKA,6,0)</f>
        <v>JUNIOR</v>
      </c>
      <c r="H81" s="67" t="str">
        <f>VLOOKUP(B81,STARTOVKA,7,0)</f>
        <v>RCA</v>
      </c>
      <c r="I81" s="68">
        <v>8.020833333333334E-2</v>
      </c>
      <c r="J81" s="31">
        <f>I81-$I$12</f>
        <v>3.2870370370370466E-3</v>
      </c>
      <c r="K81" s="31">
        <f>M81+N81</f>
        <v>0</v>
      </c>
      <c r="M81" s="31"/>
      <c r="N81" s="31"/>
      <c r="O81" s="31">
        <f>VLOOKUP(B81,AFTER2,8,0)</f>
        <v>8.5515057870370365E-2</v>
      </c>
      <c r="P81" s="150">
        <f t="shared" si="3"/>
        <v>0.16572339120370372</v>
      </c>
      <c r="R81" s="158">
        <v>137</v>
      </c>
      <c r="S81" s="159">
        <v>70</v>
      </c>
      <c r="T81" s="157">
        <f t="shared" si="2"/>
        <v>137</v>
      </c>
      <c r="U81" s="160">
        <v>1</v>
      </c>
      <c r="V81" s="161">
        <v>114</v>
      </c>
      <c r="W81" s="157">
        <f>SUMIF(T:T,V:V,U:U)</f>
        <v>1</v>
      </c>
    </row>
    <row r="82" spans="1:23" s="69" customFormat="1" ht="13.7" customHeight="1" x14ac:dyDescent="0.25">
      <c r="A82" s="53">
        <v>71</v>
      </c>
      <c r="B82" s="99">
        <v>59</v>
      </c>
      <c r="C82" s="63" t="str">
        <f>VLOOKUP(B82,STARTOVKA,2,0)</f>
        <v>CZE19960727</v>
      </c>
      <c r="D82" s="64" t="str">
        <f>VLOOKUP(B82,STARTOVKA,3,0)</f>
        <v xml:space="preserve">PREJDA Václav </v>
      </c>
      <c r="E82" s="65" t="str">
        <f>VLOOKUP(B82,STARTOVKA,4,0)</f>
        <v xml:space="preserve">SK JIŘÍ TEAM OSTRAVA </v>
      </c>
      <c r="F82" s="66">
        <f>VLOOKUP(B82,STARTOVKA,5,0)</f>
        <v>16035</v>
      </c>
      <c r="G82" s="67" t="str">
        <f>VLOOKUP(B82,STARTOVKA,6,0)</f>
        <v>JUNIOR</v>
      </c>
      <c r="H82" s="67" t="str">
        <f>VLOOKUP(B82,STARTOVKA,7,0)</f>
        <v>GLI</v>
      </c>
      <c r="I82" s="68">
        <v>8.020833333333334E-2</v>
      </c>
      <c r="J82" s="31">
        <f>I82-$I$12</f>
        <v>3.2870370370370466E-3</v>
      </c>
      <c r="K82" s="31">
        <f>M82+N82</f>
        <v>0</v>
      </c>
      <c r="M82" s="31"/>
      <c r="N82" s="31"/>
      <c r="O82" s="31">
        <f>VLOOKUP(B82,AFTER2,8,0)</f>
        <v>8.5852511574074086E-2</v>
      </c>
      <c r="P82" s="150">
        <f t="shared" si="3"/>
        <v>0.16606084490740741</v>
      </c>
      <c r="R82" s="158">
        <v>59</v>
      </c>
      <c r="S82" s="159">
        <v>71</v>
      </c>
      <c r="T82" s="157">
        <f t="shared" si="2"/>
        <v>59</v>
      </c>
      <c r="U82" s="160">
        <v>1</v>
      </c>
      <c r="V82" s="161">
        <v>115</v>
      </c>
      <c r="W82" s="157">
        <f>SUMIF(T:T,V:V,U:U)</f>
        <v>1</v>
      </c>
    </row>
    <row r="83" spans="1:23" s="69" customFormat="1" ht="13.7" customHeight="1" x14ac:dyDescent="0.25">
      <c r="A83" s="53">
        <v>72</v>
      </c>
      <c r="B83" s="99">
        <v>3</v>
      </c>
      <c r="C83" s="63" t="str">
        <f>VLOOKUP(B83,STARTOVKA,2,0)</f>
        <v>GER19970102</v>
      </c>
      <c r="D83" s="64" t="str">
        <f>VLOOKUP(B83,STARTOVKA,3,0)</f>
        <v>ZEISE Paul</v>
      </c>
      <c r="E83" s="65" t="str">
        <f>VLOOKUP(B83,STARTOVKA,4,0)</f>
        <v>RSC TURBINE ERFURT</v>
      </c>
      <c r="F83" s="66" t="str">
        <f>VLOOKUP(B83,STARTOVKA,5,0)</f>
        <v>THÜ173430</v>
      </c>
      <c r="G83" s="67" t="str">
        <f>VLOOKUP(B83,STARTOVKA,6,0)</f>
        <v>JUNIOR*</v>
      </c>
      <c r="H83" s="67" t="str">
        <f>VLOOKUP(B83,STARTOVKA,7,0)</f>
        <v>TUR</v>
      </c>
      <c r="I83" s="68">
        <v>8.020833333333334E-2</v>
      </c>
      <c r="J83" s="31">
        <f>I83-$I$12</f>
        <v>3.2870370370370466E-3</v>
      </c>
      <c r="K83" s="31">
        <f>M83+N83</f>
        <v>0</v>
      </c>
      <c r="M83" s="31"/>
      <c r="N83" s="31"/>
      <c r="O83" s="31">
        <f>VLOOKUP(B83,AFTER2,8,0)</f>
        <v>8.5365231481481507E-2</v>
      </c>
      <c r="P83" s="150">
        <f t="shared" si="3"/>
        <v>0.16557356481481483</v>
      </c>
      <c r="R83" s="158">
        <v>3</v>
      </c>
      <c r="S83" s="159">
        <v>72</v>
      </c>
      <c r="T83" s="157">
        <f t="shared" si="2"/>
        <v>3</v>
      </c>
      <c r="U83" s="160">
        <v>1</v>
      </c>
      <c r="V83" s="161">
        <v>116</v>
      </c>
      <c r="W83" s="157">
        <f>SUMIF(T:T,V:V,U:U)</f>
        <v>1</v>
      </c>
    </row>
    <row r="84" spans="1:23" s="69" customFormat="1" ht="13.7" customHeight="1" x14ac:dyDescent="0.25">
      <c r="A84" s="53">
        <v>73</v>
      </c>
      <c r="B84" s="99">
        <v>7</v>
      </c>
      <c r="C84" s="63" t="str">
        <f>VLOOKUP(B84,STARTOVKA,2,0)</f>
        <v>GER19970419</v>
      </c>
      <c r="D84" s="64" t="str">
        <f>VLOOKUP(B84,STARTOVKA,3,0)</f>
        <v>BURCHARDT Karl</v>
      </c>
      <c r="E84" s="65" t="str">
        <f>VLOOKUP(B84,STARTOVKA,4,0)</f>
        <v>RSC TURBINE ERFURT</v>
      </c>
      <c r="F84" s="66" t="str">
        <f>VLOOKUP(B84,STARTOVKA,5,0)</f>
        <v>THÜ173418</v>
      </c>
      <c r="G84" s="67" t="str">
        <f>VLOOKUP(B84,STARTOVKA,6,0)</f>
        <v>JUNIOR*</v>
      </c>
      <c r="H84" s="67" t="str">
        <f>VLOOKUP(B84,STARTOVKA,7,0)</f>
        <v>TUR</v>
      </c>
      <c r="I84" s="68">
        <v>8.020833333333334E-2</v>
      </c>
      <c r="J84" s="31">
        <f>I84-$I$12</f>
        <v>3.2870370370370466E-3</v>
      </c>
      <c r="K84" s="31">
        <f>M84+N84</f>
        <v>0</v>
      </c>
      <c r="M84" s="31"/>
      <c r="N84" s="31"/>
      <c r="O84" s="31">
        <f>VLOOKUP(B84,AFTER2,8,0)</f>
        <v>8.5261493055555596E-2</v>
      </c>
      <c r="P84" s="150">
        <f t="shared" si="3"/>
        <v>0.16546982638888894</v>
      </c>
      <c r="R84" s="158">
        <v>7</v>
      </c>
      <c r="S84" s="159">
        <v>73</v>
      </c>
      <c r="T84" s="157">
        <f t="shared" si="2"/>
        <v>7</v>
      </c>
      <c r="U84" s="160">
        <v>1</v>
      </c>
      <c r="V84" s="161">
        <v>117</v>
      </c>
      <c r="W84" s="157">
        <f>SUMIF(T:T,V:V,U:U)</f>
        <v>1</v>
      </c>
    </row>
    <row r="85" spans="1:23" s="69" customFormat="1" ht="13.7" customHeight="1" x14ac:dyDescent="0.25">
      <c r="A85" s="53">
        <v>74</v>
      </c>
      <c r="B85" s="99">
        <v>31</v>
      </c>
      <c r="C85" s="63" t="str">
        <f>VLOOKUP(B85,STARTOVKA,2,0)</f>
        <v>CZE19960423</v>
      </c>
      <c r="D85" s="64" t="str">
        <f>VLOOKUP(B85,STARTOVKA,3,0)</f>
        <v xml:space="preserve">MORÁVEK Zdeněk </v>
      </c>
      <c r="E85" s="65" t="str">
        <f>VLOOKUP(B85,STARTOVKA,4,0)</f>
        <v>ALLTRAINING.CZ</v>
      </c>
      <c r="F85" s="66">
        <f>VLOOKUP(B85,STARTOVKA,5,0)</f>
        <v>19314</v>
      </c>
      <c r="G85" s="67" t="str">
        <f>VLOOKUP(B85,STARTOVKA,6,0)</f>
        <v>JUNIOR</v>
      </c>
      <c r="H85" s="67" t="str">
        <f>VLOOKUP(B85,STARTOVKA,7,0)</f>
        <v>REM</v>
      </c>
      <c r="I85" s="68">
        <v>8.020833333333334E-2</v>
      </c>
      <c r="J85" s="31">
        <f>I85-$I$12</f>
        <v>3.2870370370370466E-3</v>
      </c>
      <c r="K85" s="31">
        <f>M85+N85</f>
        <v>0</v>
      </c>
      <c r="M85" s="31"/>
      <c r="N85" s="31"/>
      <c r="O85" s="31">
        <f>VLOOKUP(B85,AFTER2,8,0)</f>
        <v>8.6167905092592575E-2</v>
      </c>
      <c r="P85" s="150">
        <f t="shared" si="3"/>
        <v>0.16637623842592592</v>
      </c>
      <c r="R85" s="158">
        <v>31</v>
      </c>
      <c r="S85" s="159">
        <v>74</v>
      </c>
      <c r="T85" s="157">
        <f t="shared" si="2"/>
        <v>31</v>
      </c>
      <c r="U85" s="160">
        <v>1</v>
      </c>
      <c r="V85" s="161">
        <v>122</v>
      </c>
      <c r="W85" s="157">
        <f>SUMIF(T:T,V:V,U:U)</f>
        <v>1</v>
      </c>
    </row>
    <row r="86" spans="1:23" s="69" customFormat="1" ht="13.7" customHeight="1" x14ac:dyDescent="0.25">
      <c r="A86" s="53">
        <v>75</v>
      </c>
      <c r="B86" s="99">
        <v>135</v>
      </c>
      <c r="C86" s="63" t="str">
        <f>VLOOKUP(B86,STARTOVKA,2,0)</f>
        <v>AUT19970502</v>
      </c>
      <c r="D86" s="64" t="str">
        <f>VLOOKUP(B86,STARTOVKA,3,0)</f>
        <v>RECKENDORFER Lukas</v>
      </c>
      <c r="E86" s="65" t="str">
        <f>VLOOKUP(B86,STARTOVKA,4,0)</f>
        <v>RC ARBÖ WELS GOURMETFEIN</v>
      </c>
      <c r="F86" s="66">
        <f>VLOOKUP(B86,STARTOVKA,5,0)</f>
        <v>100756</v>
      </c>
      <c r="G86" s="67" t="str">
        <f>VLOOKUP(B86,STARTOVKA,6,0)</f>
        <v>JUNIOR*</v>
      </c>
      <c r="H86" s="67" t="str">
        <f>VLOOKUP(B86,STARTOVKA,7,0)</f>
        <v>RCA</v>
      </c>
      <c r="I86" s="68">
        <v>8.020833333333334E-2</v>
      </c>
      <c r="J86" s="31">
        <f>I86-$I$12</f>
        <v>3.2870370370370466E-3</v>
      </c>
      <c r="K86" s="31">
        <f>M86+N86</f>
        <v>0</v>
      </c>
      <c r="M86" s="31"/>
      <c r="N86" s="31"/>
      <c r="O86" s="31">
        <f>VLOOKUP(B86,AFTER2,8,0)</f>
        <v>9.1701192129629627E-2</v>
      </c>
      <c r="P86" s="150">
        <f t="shared" si="3"/>
        <v>0.17190952546296295</v>
      </c>
      <c r="R86" s="158">
        <v>135</v>
      </c>
      <c r="S86" s="159">
        <v>75</v>
      </c>
      <c r="T86" s="157">
        <f t="shared" si="2"/>
        <v>135</v>
      </c>
      <c r="U86" s="160">
        <v>1</v>
      </c>
      <c r="V86" s="161">
        <v>123</v>
      </c>
      <c r="W86" s="157">
        <f>SUMIF(T:T,V:V,U:U)</f>
        <v>1</v>
      </c>
    </row>
    <row r="87" spans="1:23" s="69" customFormat="1" ht="13.7" customHeight="1" x14ac:dyDescent="0.25">
      <c r="A87" s="53">
        <v>76</v>
      </c>
      <c r="B87" s="99">
        <v>54</v>
      </c>
      <c r="C87" s="63" t="str">
        <f>VLOOKUP(B87,STARTOVKA,2,0)</f>
        <v>POL19960621</v>
      </c>
      <c r="D87" s="64" t="str">
        <f>VLOOKUP(B87,STARTOVKA,3,0)</f>
        <v>TROSZOK Robert</v>
      </c>
      <c r="E87" s="65" t="str">
        <f>VLOOKUP(B87,STARTOVKA,4,0)</f>
        <v>GRUPA KOLARSKA GLIWICE BA</v>
      </c>
      <c r="F87" s="66" t="str">
        <f>VLOOKUP(B87,STARTOVKA,5,0)</f>
        <v>SLA231</v>
      </c>
      <c r="G87" s="67" t="str">
        <f>VLOOKUP(B87,STARTOVKA,6,0)</f>
        <v>JUNIOR</v>
      </c>
      <c r="H87" s="67" t="str">
        <f>VLOOKUP(B87,STARTOVKA,7,0)</f>
        <v>GLI</v>
      </c>
      <c r="I87" s="68">
        <v>8.0810185185185179E-2</v>
      </c>
      <c r="J87" s="31">
        <f>I87-$I$12</f>
        <v>3.8888888888888862E-3</v>
      </c>
      <c r="K87" s="31">
        <f>M87+N87</f>
        <v>0</v>
      </c>
      <c r="M87" s="31"/>
      <c r="N87" s="31"/>
      <c r="O87" s="31">
        <f>VLOOKUP(B87,AFTER2,8,0)</f>
        <v>9.3563981481481484E-2</v>
      </c>
      <c r="P87" s="150">
        <f t="shared" si="3"/>
        <v>0.17437416666666666</v>
      </c>
      <c r="R87" s="158">
        <v>54</v>
      </c>
      <c r="S87" s="159">
        <v>76</v>
      </c>
      <c r="T87" s="157">
        <f t="shared" si="2"/>
        <v>54</v>
      </c>
      <c r="U87" s="160">
        <v>1</v>
      </c>
      <c r="V87" s="161">
        <v>124</v>
      </c>
      <c r="W87" s="157">
        <f>SUMIF(T:T,V:V,U:U)</f>
        <v>1</v>
      </c>
    </row>
    <row r="88" spans="1:23" s="69" customFormat="1" ht="13.7" customHeight="1" x14ac:dyDescent="0.25">
      <c r="A88" s="53">
        <v>77</v>
      </c>
      <c r="B88" s="99">
        <v>184</v>
      </c>
      <c r="C88" s="63" t="str">
        <f>VLOOKUP(B88,STARTOVKA,2,0)</f>
        <v>AUT19961024</v>
      </c>
      <c r="D88" s="64" t="str">
        <f>VLOOKUP(B88,STARTOVKA,3,0)</f>
        <v>STATTMANN Lukas</v>
      </c>
      <c r="E88" s="65" t="str">
        <f>VLOOKUP(B88,STARTOVKA,4,0)</f>
        <v xml:space="preserve">LRV STEIERMARK </v>
      </c>
      <c r="F88" s="66">
        <f>VLOOKUP(B88,STARTOVKA,5,0)</f>
        <v>100830</v>
      </c>
      <c r="G88" s="67" t="str">
        <f>VLOOKUP(B88,STARTOVKA,6,0)</f>
        <v>JUNIOR</v>
      </c>
      <c r="H88" s="67" t="str">
        <f>VLOOKUP(B88,STARTOVKA,7,0)</f>
        <v>LRV</v>
      </c>
      <c r="I88" s="68">
        <v>8.0810185185185179E-2</v>
      </c>
      <c r="J88" s="31">
        <f>I88-$I$12</f>
        <v>3.8888888888888862E-3</v>
      </c>
      <c r="K88" s="31">
        <f>M88+N88</f>
        <v>0</v>
      </c>
      <c r="M88" s="31"/>
      <c r="N88" s="31"/>
      <c r="O88" s="31">
        <f>VLOOKUP(B88,AFTER2,8,0)</f>
        <v>8.651474537037035E-2</v>
      </c>
      <c r="P88" s="150">
        <f t="shared" si="3"/>
        <v>0.16732493055555553</v>
      </c>
      <c r="R88" s="158">
        <v>184</v>
      </c>
      <c r="S88" s="159">
        <v>77</v>
      </c>
      <c r="T88" s="157">
        <f t="shared" si="2"/>
        <v>184</v>
      </c>
      <c r="U88" s="160">
        <v>1</v>
      </c>
      <c r="V88" s="161">
        <v>125</v>
      </c>
      <c r="W88" s="157">
        <f>SUMIF(T:T,V:V,U:U)</f>
        <v>1</v>
      </c>
    </row>
    <row r="89" spans="1:23" s="69" customFormat="1" ht="13.7" customHeight="1" x14ac:dyDescent="0.25">
      <c r="A89" s="53">
        <v>78</v>
      </c>
      <c r="B89" s="99">
        <v>14</v>
      </c>
      <c r="C89" s="63" t="str">
        <f>VLOOKUP(B89,STARTOVKA,2,0)</f>
        <v>GER19970806</v>
      </c>
      <c r="D89" s="64" t="str">
        <f>VLOOKUP(B89,STARTOVKA,3,0)</f>
        <v>BINAY Noah</v>
      </c>
      <c r="E89" s="65" t="str">
        <f>VLOOKUP(B89,STARTOVKA,4,0)</f>
        <v>JUNIOREN SCHWALBE TEAM SACHSEN</v>
      </c>
      <c r="F89" s="66" t="str">
        <f>VLOOKUP(B89,STARTOVKA,5,0)</f>
        <v>SAC 142218</v>
      </c>
      <c r="G89" s="67" t="str">
        <f>VLOOKUP(B89,STARTOVKA,6,0)</f>
        <v>JUNIOR*</v>
      </c>
      <c r="H89" s="67" t="str">
        <f>VLOOKUP(B89,STARTOVKA,7,0)</f>
        <v>SCW</v>
      </c>
      <c r="I89" s="68">
        <v>8.0810185185185179E-2</v>
      </c>
      <c r="J89" s="31">
        <f>I89-$I$12</f>
        <v>3.8888888888888862E-3</v>
      </c>
      <c r="K89" s="31">
        <f>M89+N89</f>
        <v>0</v>
      </c>
      <c r="M89" s="31"/>
      <c r="N89" s="31"/>
      <c r="O89" s="31">
        <f>VLOOKUP(B89,AFTER2,8,0)</f>
        <v>8.6882939814814791E-2</v>
      </c>
      <c r="P89" s="150">
        <f t="shared" si="3"/>
        <v>0.16769312499999997</v>
      </c>
      <c r="R89" s="158">
        <v>14</v>
      </c>
      <c r="S89" s="159">
        <v>78</v>
      </c>
      <c r="T89" s="157">
        <f t="shared" si="2"/>
        <v>14</v>
      </c>
      <c r="U89" s="160">
        <v>1</v>
      </c>
      <c r="V89" s="161">
        <v>131</v>
      </c>
      <c r="W89" s="157">
        <f>SUMIF(T:T,V:V,U:U)</f>
        <v>1</v>
      </c>
    </row>
    <row r="90" spans="1:23" s="69" customFormat="1" ht="13.7" customHeight="1" x14ac:dyDescent="0.25">
      <c r="A90" s="53">
        <v>79</v>
      </c>
      <c r="B90" s="99">
        <v>149</v>
      </c>
      <c r="C90" s="63" t="str">
        <f>VLOOKUP(B90,STARTOVKA,2,0)</f>
        <v>CZE19981228</v>
      </c>
      <c r="D90" s="64" t="str">
        <f>VLOOKUP(B90,STARTOVKA,3,0)</f>
        <v xml:space="preserve">WAGNER Jakub </v>
      </c>
      <c r="E90" s="65" t="str">
        <f>VLOOKUP(B90,STARTOVKA,4,0)</f>
        <v xml:space="preserve">MAPEI CYKLO KAŇKOVSKÝ </v>
      </c>
      <c r="F90" s="66">
        <f>VLOOKUP(B90,STARTOVKA,5,0)</f>
        <v>14090</v>
      </c>
      <c r="G90" s="67" t="str">
        <f>VLOOKUP(B90,STARTOVKA,6,0)</f>
        <v>CADET</v>
      </c>
      <c r="H90" s="67" t="str">
        <f>VLOOKUP(B90,STARTOVKA,7,0)</f>
        <v>MAP</v>
      </c>
      <c r="I90" s="68">
        <v>8.099537037037037E-2</v>
      </c>
      <c r="J90" s="31">
        <f>I90-$I$12</f>
        <v>4.0740740740740772E-3</v>
      </c>
      <c r="K90" s="31">
        <f>M90+N90</f>
        <v>0</v>
      </c>
      <c r="M90" s="31"/>
      <c r="N90" s="31"/>
      <c r="O90" s="31">
        <f>VLOOKUP(B90,AFTER2,8,0)</f>
        <v>8.6308854166666699E-2</v>
      </c>
      <c r="P90" s="150">
        <f t="shared" si="3"/>
        <v>0.16730422453703708</v>
      </c>
      <c r="R90" s="158">
        <v>149</v>
      </c>
      <c r="S90" s="159">
        <v>79</v>
      </c>
      <c r="T90" s="157">
        <f t="shared" si="2"/>
        <v>149</v>
      </c>
      <c r="U90" s="160">
        <v>1</v>
      </c>
      <c r="V90" s="161">
        <v>132</v>
      </c>
      <c r="W90" s="157">
        <f>SUMIF(T:T,V:V,U:U)</f>
        <v>1</v>
      </c>
    </row>
    <row r="91" spans="1:23" s="69" customFormat="1" ht="13.7" customHeight="1" x14ac:dyDescent="0.25">
      <c r="A91" s="53">
        <v>80</v>
      </c>
      <c r="B91" s="99">
        <v>57</v>
      </c>
      <c r="C91" s="63" t="str">
        <f>VLOOKUP(B91,STARTOVKA,2,0)</f>
        <v>POL19970825</v>
      </c>
      <c r="D91" s="64" t="str">
        <f>VLOOKUP(B91,STARTOVKA,3,0)</f>
        <v>GRZEGORZYCA Dominik</v>
      </c>
      <c r="E91" s="65" t="str">
        <f>VLOOKUP(B91,STARTOVKA,4,0)</f>
        <v>GRUPA KOLARSKA GLIWICE BA</v>
      </c>
      <c r="F91" s="66" t="str">
        <f>VLOOKUP(B91,STARTOVKA,5,0)</f>
        <v>SLA008</v>
      </c>
      <c r="G91" s="67" t="str">
        <f>VLOOKUP(B91,STARTOVKA,6,0)</f>
        <v>JUNIOR*</v>
      </c>
      <c r="H91" s="67" t="str">
        <f>VLOOKUP(B91,STARTOVKA,7,0)</f>
        <v>GLI</v>
      </c>
      <c r="I91" s="68">
        <v>8.099537037037037E-2</v>
      </c>
      <c r="J91" s="31">
        <f>I91-$I$12</f>
        <v>4.0740740740740772E-3</v>
      </c>
      <c r="K91" s="31">
        <f>M91+N91</f>
        <v>0</v>
      </c>
      <c r="M91" s="31"/>
      <c r="N91" s="31"/>
      <c r="O91" s="31">
        <f>VLOOKUP(B91,AFTER2,8,0)</f>
        <v>8.5347222222222241E-2</v>
      </c>
      <c r="P91" s="150">
        <f t="shared" si="3"/>
        <v>0.1663425925925926</v>
      </c>
      <c r="R91" s="158">
        <v>57</v>
      </c>
      <c r="S91" s="159">
        <v>80</v>
      </c>
      <c r="T91" s="157">
        <f t="shared" si="2"/>
        <v>57</v>
      </c>
      <c r="U91" s="160">
        <v>1</v>
      </c>
      <c r="V91" s="161">
        <v>133</v>
      </c>
      <c r="W91" s="157">
        <f>SUMIF(T:T,V:V,U:U)</f>
        <v>1</v>
      </c>
    </row>
    <row r="92" spans="1:23" s="69" customFormat="1" ht="13.7" customHeight="1" x14ac:dyDescent="0.25">
      <c r="A92" s="53">
        <v>81</v>
      </c>
      <c r="B92" s="99">
        <v>143</v>
      </c>
      <c r="C92" s="63" t="str">
        <f>VLOOKUP(B92,STARTOVKA,2,0)</f>
        <v>CZE19960606</v>
      </c>
      <c r="D92" s="64" t="str">
        <f>VLOOKUP(B92,STARTOVKA,3,0)</f>
        <v xml:space="preserve">KOVÁŘ Jan </v>
      </c>
      <c r="E92" s="65" t="str">
        <f>VLOOKUP(B92,STARTOVKA,4,0)</f>
        <v xml:space="preserve">MAPEI CYKLO KAŇKOVSKÝ </v>
      </c>
      <c r="F92" s="66">
        <f>VLOOKUP(B92,STARTOVKA,5,0)</f>
        <v>12418</v>
      </c>
      <c r="G92" s="67" t="str">
        <f>VLOOKUP(B92,STARTOVKA,6,0)</f>
        <v>JUNIOR</v>
      </c>
      <c r="H92" s="67" t="str">
        <f>VLOOKUP(B92,STARTOVKA,7,0)</f>
        <v>MAP</v>
      </c>
      <c r="I92" s="68">
        <v>8.099537037037037E-2</v>
      </c>
      <c r="J92" s="31">
        <f>I92-$I$12</f>
        <v>4.0740740740740772E-3</v>
      </c>
      <c r="K92" s="31">
        <f>M92+N92</f>
        <v>0</v>
      </c>
      <c r="M92" s="31"/>
      <c r="N92" s="31"/>
      <c r="O92" s="31">
        <f>VLOOKUP(B92,AFTER2,8,0)</f>
        <v>8.5104918981481481E-2</v>
      </c>
      <c r="P92" s="150">
        <f t="shared" si="3"/>
        <v>0.16610028935185184</v>
      </c>
      <c r="R92" s="158">
        <v>143</v>
      </c>
      <c r="S92" s="159">
        <v>81</v>
      </c>
      <c r="T92" s="157">
        <f t="shared" si="2"/>
        <v>143</v>
      </c>
      <c r="U92" s="160">
        <v>1</v>
      </c>
      <c r="V92" s="161">
        <v>134</v>
      </c>
      <c r="W92" s="157">
        <f>SUMIF(T:T,V:V,U:U)</f>
        <v>1</v>
      </c>
    </row>
    <row r="93" spans="1:23" s="69" customFormat="1" ht="13.7" customHeight="1" x14ac:dyDescent="0.25">
      <c r="A93" s="53">
        <v>82</v>
      </c>
      <c r="B93" s="99">
        <v>144</v>
      </c>
      <c r="C93" s="63" t="str">
        <f>VLOOKUP(B93,STARTOVKA,2,0)</f>
        <v>CZE19961220</v>
      </c>
      <c r="D93" s="64" t="str">
        <f>VLOOKUP(B93,STARTOVKA,3,0)</f>
        <v xml:space="preserve">LOVEČEK Adam </v>
      </c>
      <c r="E93" s="65" t="str">
        <f>VLOOKUP(B93,STARTOVKA,4,0)</f>
        <v xml:space="preserve">MAPEI CYKLO KAŇKOVSKÝ </v>
      </c>
      <c r="F93" s="66">
        <f>VLOOKUP(B93,STARTOVKA,5,0)</f>
        <v>19339</v>
      </c>
      <c r="G93" s="67" t="str">
        <f>VLOOKUP(B93,STARTOVKA,6,0)</f>
        <v>JUNIOR</v>
      </c>
      <c r="H93" s="67" t="str">
        <f>VLOOKUP(B93,STARTOVKA,7,0)</f>
        <v>MAP</v>
      </c>
      <c r="I93" s="68">
        <v>8.099537037037037E-2</v>
      </c>
      <c r="J93" s="31">
        <f>I93-$I$12</f>
        <v>4.0740740740740772E-3</v>
      </c>
      <c r="K93" s="31">
        <f>M93+N93</f>
        <v>0</v>
      </c>
      <c r="M93" s="31"/>
      <c r="N93" s="31"/>
      <c r="O93" s="31">
        <f>VLOOKUP(B93,AFTER2,8,0)</f>
        <v>8.5716747685185182E-2</v>
      </c>
      <c r="P93" s="150">
        <f t="shared" si="3"/>
        <v>0.16671211805555555</v>
      </c>
      <c r="R93" s="158">
        <v>144</v>
      </c>
      <c r="S93" s="159">
        <v>82</v>
      </c>
      <c r="T93" s="157">
        <f t="shared" si="2"/>
        <v>144</v>
      </c>
      <c r="U93" s="160">
        <v>1</v>
      </c>
      <c r="V93" s="161">
        <v>135</v>
      </c>
      <c r="W93" s="157">
        <f>SUMIF(T:T,V:V,U:U)</f>
        <v>1</v>
      </c>
    </row>
    <row r="94" spans="1:23" s="69" customFormat="1" ht="13.7" customHeight="1" x14ac:dyDescent="0.25">
      <c r="A94" s="53">
        <v>83</v>
      </c>
      <c r="B94" s="99">
        <v>107</v>
      </c>
      <c r="C94" s="63" t="str">
        <f>VLOOKUP(B94,STARTOVKA,2,0)</f>
        <v>CZE19970110</v>
      </c>
      <c r="D94" s="64" t="str">
        <f>VLOOKUP(B94,STARTOVKA,3,0)</f>
        <v xml:space="preserve">KŘIKAVA Jakub </v>
      </c>
      <c r="E94" s="65" t="str">
        <f>VLOOKUP(B94,STARTOVKA,4,0)</f>
        <v xml:space="preserve">TJ ZČE CYKLISTIKA PLZEŇ </v>
      </c>
      <c r="F94" s="66">
        <f>VLOOKUP(B94,STARTOVKA,5,0)</f>
        <v>9167</v>
      </c>
      <c r="G94" s="67" t="str">
        <f>VLOOKUP(B94,STARTOVKA,6,0)</f>
        <v>JUNIOR*</v>
      </c>
      <c r="H94" s="67" t="str">
        <f>VLOOKUP(B94,STARTOVKA,7,0)</f>
        <v>LOU</v>
      </c>
      <c r="I94" s="68">
        <v>8.099537037037037E-2</v>
      </c>
      <c r="J94" s="31">
        <f>I94-$I$12</f>
        <v>4.0740740740740772E-3</v>
      </c>
      <c r="K94" s="31">
        <f>M94+N94</f>
        <v>0</v>
      </c>
      <c r="M94" s="31"/>
      <c r="N94" s="31"/>
      <c r="O94" s="31">
        <f>VLOOKUP(B94,AFTER2,8,0)</f>
        <v>8.5824363425925934E-2</v>
      </c>
      <c r="P94" s="150">
        <f t="shared" si="3"/>
        <v>0.1668197337962963</v>
      </c>
      <c r="R94" s="158">
        <v>107</v>
      </c>
      <c r="S94" s="159">
        <v>83</v>
      </c>
      <c r="T94" s="157">
        <f t="shared" si="2"/>
        <v>107</v>
      </c>
      <c r="U94" s="160">
        <v>1</v>
      </c>
      <c r="V94" s="161">
        <v>136</v>
      </c>
      <c r="W94" s="157">
        <f>SUMIF(T:T,V:V,U:U)</f>
        <v>1</v>
      </c>
    </row>
    <row r="95" spans="1:23" s="69" customFormat="1" ht="13.7" customHeight="1" x14ac:dyDescent="0.25">
      <c r="A95" s="53">
        <v>84</v>
      </c>
      <c r="B95" s="99">
        <v>65</v>
      </c>
      <c r="C95" s="63" t="str">
        <f>VLOOKUP(B95,STARTOVKA,2,0)</f>
        <v>POL19970608</v>
      </c>
      <c r="D95" s="64" t="str">
        <f>VLOOKUP(B95,STARTOVKA,3,0)</f>
        <v>BISKUP Bartosz</v>
      </c>
      <c r="E95" s="65" t="str">
        <f>VLOOKUP(B95,STARTOVKA,4,0)</f>
        <v xml:space="preserve">DSR AUTHOR GÓRNIK WAŁBRZYCH </v>
      </c>
      <c r="F95" s="66" t="str">
        <f>VLOOKUP(B95,STARTOVKA,5,0)</f>
        <v>DLS272</v>
      </c>
      <c r="G95" s="67" t="str">
        <f>VLOOKUP(B95,STARTOVKA,6,0)</f>
        <v>JUNIOR*</v>
      </c>
      <c r="H95" s="67" t="str">
        <f>VLOOKUP(B95,STARTOVKA,7,0)</f>
        <v>GOR</v>
      </c>
      <c r="I95" s="68">
        <v>8.099537037037037E-2</v>
      </c>
      <c r="J95" s="31">
        <f>I95-$I$12</f>
        <v>4.0740740740740772E-3</v>
      </c>
      <c r="K95" s="31">
        <f>M95+N95</f>
        <v>0</v>
      </c>
      <c r="M95" s="31"/>
      <c r="N95" s="31"/>
      <c r="O95" s="31">
        <f>VLOOKUP(B95,AFTER2,8,0)</f>
        <v>8.6334988425925935E-2</v>
      </c>
      <c r="P95" s="150">
        <f t="shared" si="3"/>
        <v>0.16733035879629632</v>
      </c>
      <c r="R95" s="158">
        <v>65</v>
      </c>
      <c r="S95" s="159">
        <v>84</v>
      </c>
      <c r="T95" s="157">
        <f t="shared" si="2"/>
        <v>65</v>
      </c>
      <c r="U95" s="160">
        <v>1</v>
      </c>
      <c r="V95" s="161">
        <v>137</v>
      </c>
      <c r="W95" s="157">
        <f>SUMIF(T:T,V:V,U:U)</f>
        <v>1</v>
      </c>
    </row>
    <row r="96" spans="1:23" s="69" customFormat="1" ht="13.7" customHeight="1" x14ac:dyDescent="0.25">
      <c r="A96" s="53">
        <v>85</v>
      </c>
      <c r="B96" s="99">
        <v>8</v>
      </c>
      <c r="C96" s="63" t="str">
        <f>VLOOKUP(B96,STARTOVKA,2,0)</f>
        <v>GER19980416</v>
      </c>
      <c r="D96" s="64" t="str">
        <f>VLOOKUP(B96,STARTOVKA,3,0)</f>
        <v>KÄßMANN Fabian</v>
      </c>
      <c r="E96" s="65" t="str">
        <f>VLOOKUP(B96,STARTOVKA,4,0)</f>
        <v>1.RSV 1886 GREIZ</v>
      </c>
      <c r="F96" s="66" t="str">
        <f>VLOOKUP(B96,STARTOVKA,5,0)</f>
        <v>THÜ173410</v>
      </c>
      <c r="G96" s="67" t="str">
        <f>VLOOKUP(B96,STARTOVKA,6,0)</f>
        <v>CADET</v>
      </c>
      <c r="H96" s="67" t="str">
        <f>VLOOKUP(B96,STARTOVKA,7,0)</f>
        <v>TUR</v>
      </c>
      <c r="I96" s="68">
        <v>8.099537037037037E-2</v>
      </c>
      <c r="J96" s="31">
        <f>I96-$I$12</f>
        <v>4.0740740740740772E-3</v>
      </c>
      <c r="K96" s="31">
        <f>M96+N96</f>
        <v>0</v>
      </c>
      <c r="M96" s="31"/>
      <c r="N96" s="31"/>
      <c r="O96" s="31">
        <f>VLOOKUP(B96,AFTER2,8,0)</f>
        <v>8.5959293981481527E-2</v>
      </c>
      <c r="P96" s="150">
        <f t="shared" si="3"/>
        <v>0.16695466435185191</v>
      </c>
      <c r="R96" s="158">
        <v>8</v>
      </c>
      <c r="S96" s="159">
        <v>85</v>
      </c>
      <c r="T96" s="157">
        <f t="shared" si="2"/>
        <v>8</v>
      </c>
      <c r="U96" s="160">
        <v>1</v>
      </c>
      <c r="V96" s="161">
        <v>141</v>
      </c>
      <c r="W96" s="157">
        <f>SUMIF(T:T,V:V,U:U)</f>
        <v>1</v>
      </c>
    </row>
    <row r="97" spans="1:23" s="69" customFormat="1" ht="13.7" customHeight="1" x14ac:dyDescent="0.25">
      <c r="A97" s="53">
        <v>86</v>
      </c>
      <c r="B97" s="99">
        <v>6</v>
      </c>
      <c r="C97" s="63" t="str">
        <f>VLOOKUP(B97,STARTOVKA,2,0)</f>
        <v>GER19970811</v>
      </c>
      <c r="D97" s="64" t="str">
        <f>VLOOKUP(B97,STARTOVKA,3,0)</f>
        <v>LINTZEL Philip</v>
      </c>
      <c r="E97" s="65" t="str">
        <f>VLOOKUP(B97,STARTOVKA,4,0)</f>
        <v>RSC TURBINE ERFURT</v>
      </c>
      <c r="F97" s="66" t="str">
        <f>VLOOKUP(B97,STARTOVKA,5,0)</f>
        <v>THÜ173079</v>
      </c>
      <c r="G97" s="67" t="str">
        <f>VLOOKUP(B97,STARTOVKA,6,0)</f>
        <v>JUNIOR*</v>
      </c>
      <c r="H97" s="67" t="str">
        <f>VLOOKUP(B97,STARTOVKA,7,0)</f>
        <v>TUR</v>
      </c>
      <c r="I97" s="68">
        <v>8.1666666666666665E-2</v>
      </c>
      <c r="J97" s="31">
        <f>I97-$I$12</f>
        <v>4.745370370370372E-3</v>
      </c>
      <c r="K97" s="31">
        <f>M97+N97</f>
        <v>0</v>
      </c>
      <c r="M97" s="31"/>
      <c r="N97" s="31"/>
      <c r="O97" s="31">
        <f>VLOOKUP(B97,AFTER2,8,0)</f>
        <v>8.5990150462962961E-2</v>
      </c>
      <c r="P97" s="150">
        <f t="shared" si="3"/>
        <v>0.16765681712962963</v>
      </c>
      <c r="R97" s="158">
        <v>6</v>
      </c>
      <c r="S97" s="159">
        <v>86</v>
      </c>
      <c r="T97" s="157">
        <f t="shared" si="2"/>
        <v>6</v>
      </c>
      <c r="U97" s="160">
        <v>1</v>
      </c>
      <c r="V97" s="161">
        <v>142</v>
      </c>
      <c r="W97" s="157">
        <f>SUMIF(T:T,V:V,U:U)</f>
        <v>1</v>
      </c>
    </row>
    <row r="98" spans="1:23" s="69" customFormat="1" ht="13.7" customHeight="1" x14ac:dyDescent="0.25">
      <c r="A98" s="53">
        <v>87</v>
      </c>
      <c r="B98" s="99">
        <v>35</v>
      </c>
      <c r="C98" s="63" t="str">
        <f>VLOOKUP(B98,STARTOVKA,2,0)</f>
        <v>CZE19970320</v>
      </c>
      <c r="D98" s="64" t="str">
        <f>VLOOKUP(B98,STARTOVKA,3,0)</f>
        <v xml:space="preserve">KUTIŠ Martin </v>
      </c>
      <c r="E98" s="65" t="str">
        <f>VLOOKUP(B98,STARTOVKA,4,0)</f>
        <v>ALLTRAINING.CZ</v>
      </c>
      <c r="F98" s="66">
        <f>VLOOKUP(B98,STARTOVKA,5,0)</f>
        <v>19969</v>
      </c>
      <c r="G98" s="67" t="str">
        <f>VLOOKUP(B98,STARTOVKA,6,0)</f>
        <v>JUNIOR*</v>
      </c>
      <c r="H98" s="67" t="str">
        <f>VLOOKUP(B98,STARTOVKA,7,0)</f>
        <v>REM</v>
      </c>
      <c r="I98" s="68">
        <v>8.1666666666666665E-2</v>
      </c>
      <c r="J98" s="31">
        <f>I98-$I$12</f>
        <v>4.745370370370372E-3</v>
      </c>
      <c r="K98" s="31">
        <f>M98+N98</f>
        <v>0</v>
      </c>
      <c r="M98" s="31"/>
      <c r="N98" s="31"/>
      <c r="O98" s="31">
        <f>VLOOKUP(B98,AFTER2,8,0)</f>
        <v>8.6015775462962976E-2</v>
      </c>
      <c r="P98" s="150">
        <f t="shared" si="3"/>
        <v>0.16768244212962963</v>
      </c>
      <c r="R98" s="158">
        <v>35</v>
      </c>
      <c r="S98" s="159">
        <v>87</v>
      </c>
      <c r="T98" s="157">
        <f t="shared" si="2"/>
        <v>35</v>
      </c>
      <c r="U98" s="160">
        <v>1</v>
      </c>
      <c r="V98" s="161">
        <v>143</v>
      </c>
      <c r="W98" s="157">
        <f>SUMIF(T:T,V:V,U:U)</f>
        <v>1</v>
      </c>
    </row>
    <row r="99" spans="1:23" s="69" customFormat="1" ht="13.7" customHeight="1" x14ac:dyDescent="0.25">
      <c r="A99" s="53">
        <v>88</v>
      </c>
      <c r="B99" s="99">
        <v>81</v>
      </c>
      <c r="C99" s="63" t="str">
        <f>VLOOKUP(B99,STARTOVKA,2,0)</f>
        <v>CZE19980303</v>
      </c>
      <c r="D99" s="64" t="str">
        <f>VLOOKUP(B99,STARTOVKA,3,0)</f>
        <v xml:space="preserve">KOUDELA Dominik </v>
      </c>
      <c r="E99" s="65" t="str">
        <f>VLOOKUP(B99,STARTOVKA,4,0)</f>
        <v xml:space="preserve">TJ KOVO PRAHA </v>
      </c>
      <c r="F99" s="66">
        <f>VLOOKUP(B99,STARTOVKA,5,0)</f>
        <v>13590</v>
      </c>
      <c r="G99" s="67" t="str">
        <f>VLOOKUP(B99,STARTOVKA,6,0)</f>
        <v>CADET</v>
      </c>
      <c r="H99" s="67" t="str">
        <f>VLOOKUP(B99,STARTOVKA,7,0)</f>
        <v>KOV</v>
      </c>
      <c r="I99" s="68">
        <v>8.1701388888888893E-2</v>
      </c>
      <c r="J99" s="31">
        <f>I99-$I$12</f>
        <v>4.7800925925925997E-3</v>
      </c>
      <c r="K99" s="31">
        <f>M99+N99</f>
        <v>0</v>
      </c>
      <c r="M99" s="31"/>
      <c r="N99" s="31"/>
      <c r="O99" s="31">
        <f>VLOOKUP(B99,AFTER2,8,0)</f>
        <v>8.5995289351851828E-2</v>
      </c>
      <c r="P99" s="150">
        <f t="shared" si="3"/>
        <v>0.16769667824074072</v>
      </c>
      <c r="R99" s="158">
        <v>81</v>
      </c>
      <c r="S99" s="159">
        <v>88</v>
      </c>
      <c r="T99" s="157">
        <f t="shared" si="2"/>
        <v>81</v>
      </c>
      <c r="U99" s="160">
        <v>1</v>
      </c>
      <c r="V99" s="161">
        <v>144</v>
      </c>
      <c r="W99" s="157">
        <f>SUMIF(T:T,V:V,U:U)</f>
        <v>1</v>
      </c>
    </row>
    <row r="100" spans="1:23" s="69" customFormat="1" ht="13.7" customHeight="1" x14ac:dyDescent="0.25">
      <c r="A100" s="53">
        <v>89</v>
      </c>
      <c r="B100" s="99">
        <v>55</v>
      </c>
      <c r="C100" s="63" t="str">
        <f>VLOOKUP(B100,STARTOVKA,2,0)</f>
        <v>POL19981009</v>
      </c>
      <c r="D100" s="64" t="str">
        <f>VLOOKUP(B100,STARTOVKA,3,0)</f>
        <v>FABIAN Marcel</v>
      </c>
      <c r="E100" s="65" t="str">
        <f>VLOOKUP(B100,STARTOVKA,4,0)</f>
        <v>GRUPA KOLARSKA GLIWICE BA</v>
      </c>
      <c r="F100" s="66" t="str">
        <f>VLOOKUP(B100,STARTOVKA,5,0)</f>
        <v>SLA012</v>
      </c>
      <c r="G100" s="67" t="str">
        <f>VLOOKUP(B100,STARTOVKA,6,0)</f>
        <v>CADET</v>
      </c>
      <c r="H100" s="67" t="str">
        <f>VLOOKUP(B100,STARTOVKA,7,0)</f>
        <v>GLI</v>
      </c>
      <c r="I100" s="68">
        <v>8.1701388888888893E-2</v>
      </c>
      <c r="J100" s="31">
        <f>I100-$I$12</f>
        <v>4.7800925925925997E-3</v>
      </c>
      <c r="K100" s="31">
        <f>M100+N100</f>
        <v>0</v>
      </c>
      <c r="M100" s="31"/>
      <c r="N100" s="31"/>
      <c r="O100" s="31">
        <f>VLOOKUP(B100,AFTER2,8,0)</f>
        <v>8.5557962962962975E-2</v>
      </c>
      <c r="P100" s="150">
        <f t="shared" si="3"/>
        <v>0.16725935185185187</v>
      </c>
      <c r="R100" s="158">
        <v>55</v>
      </c>
      <c r="S100" s="159">
        <v>89</v>
      </c>
      <c r="T100" s="157">
        <f t="shared" si="2"/>
        <v>55</v>
      </c>
      <c r="U100" s="160">
        <v>1</v>
      </c>
      <c r="V100" s="161">
        <v>145</v>
      </c>
      <c r="W100" s="157">
        <f>SUMIF(T:T,V:V,U:U)</f>
        <v>1</v>
      </c>
    </row>
    <row r="101" spans="1:23" s="69" customFormat="1" ht="13.7" customHeight="1" x14ac:dyDescent="0.25">
      <c r="A101" s="53">
        <v>90</v>
      </c>
      <c r="B101" s="221">
        <v>113</v>
      </c>
      <c r="C101" s="63" t="str">
        <f>VLOOKUP(B101,STARTOVKA,2,0)</f>
        <v>GER19961002</v>
      </c>
      <c r="D101" s="64" t="str">
        <f>VLOOKUP(B101,STARTOVKA,3,0)</f>
        <v>ROHDE Louis</v>
      </c>
      <c r="E101" s="65" t="str">
        <f>VLOOKUP(B101,STARTOVKA,4,0)</f>
        <v>TEAM BRANDENBURG - RSC COTTBUS</v>
      </c>
      <c r="F101" s="66" t="str">
        <f>VLOOKUP(B101,STARTOVKA,5,0)</f>
        <v>062094-11</v>
      </c>
      <c r="G101" s="67" t="str">
        <f>VLOOKUP(B101,STARTOVKA,6,0)</f>
        <v>JUNIOR</v>
      </c>
      <c r="H101" s="67" t="str">
        <f>VLOOKUP(B101,STARTOVKA,7,0)</f>
        <v>COT</v>
      </c>
      <c r="I101" s="68">
        <v>8.188657407407407E-2</v>
      </c>
      <c r="J101" s="31">
        <f>I101-$I$12</f>
        <v>4.9652777777777768E-3</v>
      </c>
      <c r="K101" s="31">
        <f>M101+N101</f>
        <v>0</v>
      </c>
      <c r="M101" s="31"/>
      <c r="N101" s="31"/>
      <c r="O101" s="31">
        <f>VLOOKUP(B101,AFTER2,8,0)</f>
        <v>8.6295162037037007E-2</v>
      </c>
      <c r="P101" s="150">
        <f t="shared" si="3"/>
        <v>0.16818173611111109</v>
      </c>
      <c r="R101" s="158">
        <v>113</v>
      </c>
      <c r="S101" s="159">
        <v>90</v>
      </c>
      <c r="T101" s="157">
        <f t="shared" si="2"/>
        <v>113</v>
      </c>
      <c r="U101" s="160">
        <v>1</v>
      </c>
      <c r="V101" s="161">
        <v>146</v>
      </c>
      <c r="W101" s="157">
        <f>SUMIF(T:T,V:V,U:U)</f>
        <v>1</v>
      </c>
    </row>
    <row r="102" spans="1:23" s="69" customFormat="1" ht="13.7" customHeight="1" x14ac:dyDescent="0.25">
      <c r="A102" s="53">
        <v>91</v>
      </c>
      <c r="B102" s="99">
        <v>63</v>
      </c>
      <c r="C102" s="63" t="str">
        <f>VLOOKUP(B102,STARTOVKA,2,0)</f>
        <v>POL19960116</v>
      </c>
      <c r="D102" s="64" t="str">
        <f>VLOOKUP(B102,STARTOVKA,3,0)</f>
        <v>GORZAWSKI Kamil</v>
      </c>
      <c r="E102" s="65" t="str">
        <f>VLOOKUP(B102,STARTOVKA,4,0)</f>
        <v xml:space="preserve">DSR AUTHOR GÓRNIK WAŁBRZYCH </v>
      </c>
      <c r="F102" s="66" t="str">
        <f>VLOOKUP(B102,STARTOVKA,5,0)</f>
        <v>DLS164</v>
      </c>
      <c r="G102" s="67" t="str">
        <f>VLOOKUP(B102,STARTOVKA,6,0)</f>
        <v>JUNIOR</v>
      </c>
      <c r="H102" s="67" t="str">
        <f>VLOOKUP(B102,STARTOVKA,7,0)</f>
        <v>GOR</v>
      </c>
      <c r="I102" s="68">
        <v>8.188657407407407E-2</v>
      </c>
      <c r="J102" s="31">
        <f>I102-$I$12</f>
        <v>4.9652777777777768E-3</v>
      </c>
      <c r="K102" s="31">
        <f>M102+N102</f>
        <v>0</v>
      </c>
      <c r="M102" s="31"/>
      <c r="N102" s="31"/>
      <c r="O102" s="31">
        <f>VLOOKUP(B102,AFTER2,8,0)</f>
        <v>8.5908692129629621E-2</v>
      </c>
      <c r="P102" s="150">
        <f t="shared" si="3"/>
        <v>0.16779526620370369</v>
      </c>
      <c r="R102" s="158">
        <v>63</v>
      </c>
      <c r="S102" s="159">
        <v>91</v>
      </c>
      <c r="T102" s="157">
        <f t="shared" si="2"/>
        <v>63</v>
      </c>
      <c r="U102" s="160">
        <v>1</v>
      </c>
      <c r="V102" s="161">
        <v>147</v>
      </c>
      <c r="W102" s="157">
        <f>SUMIF(T:T,V:V,U:U)</f>
        <v>1</v>
      </c>
    </row>
    <row r="103" spans="1:23" s="69" customFormat="1" ht="13.7" customHeight="1" x14ac:dyDescent="0.25">
      <c r="A103" s="53">
        <v>92</v>
      </c>
      <c r="B103" s="99">
        <v>24</v>
      </c>
      <c r="C103" s="63" t="str">
        <f>VLOOKUP(B103,STARTOVKA,2,0)</f>
        <v>GER19980223</v>
      </c>
      <c r="D103" s="64" t="str">
        <f>VLOOKUP(B103,STARTOVKA,3,0)</f>
        <v>PLAMBECK Philipp</v>
      </c>
      <c r="E103" s="65" t="str">
        <f>VLOOKUP(B103,STARTOVKA,4,0)</f>
        <v>RG BERLIN</v>
      </c>
      <c r="F103" s="66" t="str">
        <f>VLOOKUP(B103,STARTOVKA,5,0)</f>
        <v>HAM062726</v>
      </c>
      <c r="G103" s="67" t="str">
        <f>VLOOKUP(B103,STARTOVKA,6,0)</f>
        <v>CADET</v>
      </c>
      <c r="H103" s="67" t="str">
        <f>VLOOKUP(B103,STARTOVKA,7,0)</f>
        <v>RGB</v>
      </c>
      <c r="I103" s="68">
        <v>8.1932870370370378E-2</v>
      </c>
      <c r="J103" s="31">
        <f>I103-$I$12</f>
        <v>5.011574074074085E-3</v>
      </c>
      <c r="K103" s="31">
        <f>M103+N103</f>
        <v>0</v>
      </c>
      <c r="M103" s="31"/>
      <c r="N103" s="31"/>
      <c r="O103" s="31">
        <f>VLOOKUP(B103,AFTER2,8,0)</f>
        <v>8.5716666666666719E-2</v>
      </c>
      <c r="P103" s="150">
        <f t="shared" si="3"/>
        <v>0.16764953703703711</v>
      </c>
      <c r="R103" s="158">
        <v>24</v>
      </c>
      <c r="S103" s="159">
        <v>92</v>
      </c>
      <c r="T103" s="157">
        <f t="shared" si="2"/>
        <v>24</v>
      </c>
      <c r="U103" s="160">
        <v>1</v>
      </c>
      <c r="V103" s="161">
        <v>148</v>
      </c>
      <c r="W103" s="157">
        <f>SUMIF(T:T,V:V,U:U)</f>
        <v>1</v>
      </c>
    </row>
    <row r="104" spans="1:23" s="69" customFormat="1" ht="13.7" customHeight="1" x14ac:dyDescent="0.25">
      <c r="A104" s="53">
        <v>93</v>
      </c>
      <c r="B104" s="99">
        <v>10</v>
      </c>
      <c r="C104" s="63" t="str">
        <f>VLOOKUP(B104,STARTOVKA,2,0)</f>
        <v>GER19970316</v>
      </c>
      <c r="D104" s="64" t="str">
        <f>VLOOKUP(B104,STARTOVKA,3,0)</f>
        <v>WELTZ Niclas</v>
      </c>
      <c r="E104" s="65" t="str">
        <f>VLOOKUP(B104,STARTOVKA,4,0)</f>
        <v>RSC TURBINE ERFURT</v>
      </c>
      <c r="F104" s="66" t="str">
        <f>VLOOKUP(B104,STARTOVKA,5,0)</f>
        <v>THÜ173103</v>
      </c>
      <c r="G104" s="67" t="str">
        <f>VLOOKUP(B104,STARTOVKA,6,0)</f>
        <v>JUNIOR*</v>
      </c>
      <c r="H104" s="67" t="str">
        <f>VLOOKUP(B104,STARTOVKA,7,0)</f>
        <v>TUR</v>
      </c>
      <c r="I104" s="68">
        <v>8.1932870370370378E-2</v>
      </c>
      <c r="J104" s="31">
        <f>I104-$I$12</f>
        <v>5.011574074074085E-3</v>
      </c>
      <c r="K104" s="31">
        <f>M104+N104</f>
        <v>0</v>
      </c>
      <c r="M104" s="31"/>
      <c r="N104" s="31"/>
      <c r="O104" s="31">
        <f>VLOOKUP(B104,AFTER2,8,0)</f>
        <v>8.6256851851851848E-2</v>
      </c>
      <c r="P104" s="150">
        <f t="shared" si="3"/>
        <v>0.16818972222222223</v>
      </c>
      <c r="R104" s="158">
        <v>10</v>
      </c>
      <c r="S104" s="159">
        <v>93</v>
      </c>
      <c r="T104" s="157">
        <f t="shared" si="2"/>
        <v>10</v>
      </c>
      <c r="U104" s="160">
        <v>1</v>
      </c>
      <c r="V104" s="161">
        <v>149</v>
      </c>
      <c r="W104" s="157">
        <f>SUMIF(T:T,V:V,U:U)</f>
        <v>1</v>
      </c>
    </row>
    <row r="105" spans="1:23" s="69" customFormat="1" ht="13.7" customHeight="1" x14ac:dyDescent="0.25">
      <c r="A105" s="53">
        <v>94</v>
      </c>
      <c r="B105" s="99">
        <v>48</v>
      </c>
      <c r="C105" s="63" t="str">
        <f>VLOOKUP(B105,STARTOVKA,2,0)</f>
        <v>CZE19981009</v>
      </c>
      <c r="D105" s="64" t="str">
        <f>VLOOKUP(B105,STARTOVKA,3,0)</f>
        <v xml:space="preserve">SIRŮČEK Václav </v>
      </c>
      <c r="E105" s="65" t="str">
        <f>VLOOKUP(B105,STARTOVKA,4,0)</f>
        <v>KC KOOPERATIVA SG JABLONEC N.N</v>
      </c>
      <c r="F105" s="66">
        <f>VLOOKUP(B105,STARTOVKA,5,0)</f>
        <v>8749</v>
      </c>
      <c r="G105" s="67" t="str">
        <f>VLOOKUP(B105,STARTOVKA,6,0)</f>
        <v>CADET</v>
      </c>
      <c r="H105" s="67" t="str">
        <f>VLOOKUP(B105,STARTOVKA,7,0)</f>
        <v>KOO</v>
      </c>
      <c r="I105" s="68">
        <v>8.2569444444444445E-2</v>
      </c>
      <c r="J105" s="31">
        <f>I105-$I$12</f>
        <v>5.6481481481481521E-3</v>
      </c>
      <c r="K105" s="31">
        <f>M105+N105</f>
        <v>0</v>
      </c>
      <c r="M105" s="31"/>
      <c r="N105" s="31"/>
      <c r="O105" s="31">
        <f>VLOOKUP(B105,AFTER2,8,0)</f>
        <v>8.5856712962962961E-2</v>
      </c>
      <c r="P105" s="150">
        <f t="shared" si="3"/>
        <v>0.16842615740740741</v>
      </c>
      <c r="R105" s="158">
        <v>48</v>
      </c>
      <c r="S105" s="159">
        <v>94</v>
      </c>
      <c r="T105" s="157">
        <f t="shared" si="2"/>
        <v>48</v>
      </c>
      <c r="U105" s="160">
        <v>1</v>
      </c>
      <c r="V105" s="161">
        <v>150</v>
      </c>
      <c r="W105" s="157">
        <f>SUMIF(T:T,V:V,U:U)</f>
        <v>1</v>
      </c>
    </row>
    <row r="106" spans="1:23" s="69" customFormat="1" ht="13.7" customHeight="1" x14ac:dyDescent="0.25">
      <c r="A106" s="53">
        <v>95</v>
      </c>
      <c r="B106" s="99">
        <v>73</v>
      </c>
      <c r="C106" s="63" t="str">
        <f>VLOOKUP(B106,STARTOVKA,2,0)</f>
        <v>SVK19970207</v>
      </c>
      <c r="D106" s="64" t="str">
        <f>VLOOKUP(B106,STARTOVKA,3,0)</f>
        <v>GAVENDA Miroslav</v>
      </c>
      <c r="E106" s="65" t="str">
        <f>VLOOKUP(B106,STARTOVKA,4,0)</f>
        <v>SLÁVIA ŠG TRENČÍN</v>
      </c>
      <c r="F106" s="66">
        <f>VLOOKUP(B106,STARTOVKA,5,0)</f>
        <v>6366</v>
      </c>
      <c r="G106" s="67" t="str">
        <f>VLOOKUP(B106,STARTOVKA,6,0)</f>
        <v>JUNIOR*</v>
      </c>
      <c r="H106" s="67" t="str">
        <f>VLOOKUP(B106,STARTOVKA,7,0)</f>
        <v>SLA</v>
      </c>
      <c r="I106" s="68">
        <v>8.2569444444444445E-2</v>
      </c>
      <c r="J106" s="31">
        <f>I106-$I$12</f>
        <v>5.6481481481481521E-3</v>
      </c>
      <c r="K106" s="31">
        <f>M106+N106</f>
        <v>0</v>
      </c>
      <c r="M106" s="31"/>
      <c r="N106" s="31"/>
      <c r="O106" s="31">
        <f>VLOOKUP(B106,AFTER2,8,0)</f>
        <v>8.6544895833333357E-2</v>
      </c>
      <c r="P106" s="150">
        <f t="shared" si="3"/>
        <v>0.1691143402777778</v>
      </c>
      <c r="R106" s="158">
        <v>73</v>
      </c>
      <c r="S106" s="159">
        <v>95</v>
      </c>
      <c r="T106" s="157">
        <f t="shared" si="2"/>
        <v>73</v>
      </c>
      <c r="U106" s="160">
        <v>1</v>
      </c>
      <c r="V106" s="161">
        <v>151</v>
      </c>
      <c r="W106" s="157">
        <f>SUMIF(T:T,V:V,U:U)</f>
        <v>1</v>
      </c>
    </row>
    <row r="107" spans="1:23" s="69" customFormat="1" ht="13.7" customHeight="1" x14ac:dyDescent="0.25">
      <c r="A107" s="53">
        <v>96</v>
      </c>
      <c r="B107" s="99">
        <v>153</v>
      </c>
      <c r="C107" s="63" t="str">
        <f>VLOOKUP(B107,STARTOVKA,2,0)</f>
        <v>CZE19960707</v>
      </c>
      <c r="D107" s="64" t="str">
        <f>VLOOKUP(B107,STARTOVKA,3,0)</f>
        <v>SAXA Lukáš</v>
      </c>
      <c r="E107" s="65" t="str">
        <f>VLOOKUP(B107,STARTOVKA,4,0)</f>
        <v>STEVENS ZNOJMO</v>
      </c>
      <c r="F107" s="66">
        <f>VLOOKUP(B107,STARTOVKA,5,0)</f>
        <v>20125</v>
      </c>
      <c r="G107" s="67" t="str">
        <f>VLOOKUP(B107,STARTOVKA,6,0)</f>
        <v>JUNIOR</v>
      </c>
      <c r="H107" s="67" t="str">
        <f>VLOOKUP(B107,STARTOVKA,7,0)</f>
        <v>SKC</v>
      </c>
      <c r="I107" s="68">
        <v>8.2569444444444445E-2</v>
      </c>
      <c r="J107" s="31">
        <f>I107-$I$12</f>
        <v>5.6481481481481521E-3</v>
      </c>
      <c r="K107" s="31">
        <f>M107+N107</f>
        <v>0</v>
      </c>
      <c r="M107" s="31"/>
      <c r="N107" s="31"/>
      <c r="O107" s="31">
        <f>VLOOKUP(B107,AFTER2,8,0)</f>
        <v>8.6733541666666664E-2</v>
      </c>
      <c r="P107" s="150">
        <f t="shared" si="3"/>
        <v>0.16930298611111111</v>
      </c>
      <c r="R107" s="158">
        <v>153</v>
      </c>
      <c r="S107" s="159">
        <v>96</v>
      </c>
      <c r="T107" s="157">
        <f t="shared" si="2"/>
        <v>153</v>
      </c>
      <c r="U107" s="160">
        <v>1</v>
      </c>
      <c r="V107" s="161">
        <v>152</v>
      </c>
      <c r="W107" s="157">
        <f>SUMIF(T:T,V:V,U:U)</f>
        <v>0</v>
      </c>
    </row>
    <row r="108" spans="1:23" s="69" customFormat="1" ht="13.7" customHeight="1" x14ac:dyDescent="0.25">
      <c r="A108" s="53">
        <v>97</v>
      </c>
      <c r="B108" s="99">
        <v>47</v>
      </c>
      <c r="C108" s="63" t="str">
        <f>VLOOKUP(B108,STARTOVKA,2,0)</f>
        <v>CZE19960509</v>
      </c>
      <c r="D108" s="64" t="str">
        <f>VLOOKUP(B108,STARTOVKA,3,0)</f>
        <v xml:space="preserve">PRENĚK Ondřej </v>
      </c>
      <c r="E108" s="65" t="str">
        <f>VLOOKUP(B108,STARTOVKA,4,0)</f>
        <v>KC KOOPERATIVA SG JABLONEC N.N</v>
      </c>
      <c r="F108" s="66">
        <f>VLOOKUP(B108,STARTOVKA,5,0)</f>
        <v>19279</v>
      </c>
      <c r="G108" s="67" t="str">
        <f>VLOOKUP(B108,STARTOVKA,6,0)</f>
        <v>JUNIOR</v>
      </c>
      <c r="H108" s="67" t="str">
        <f>VLOOKUP(B108,STARTOVKA,7,0)</f>
        <v>KOO</v>
      </c>
      <c r="I108" s="68">
        <v>8.2569444444444445E-2</v>
      </c>
      <c r="J108" s="31">
        <f>I108-$I$12</f>
        <v>5.6481481481481521E-3</v>
      </c>
      <c r="K108" s="31">
        <f>M108+N108</f>
        <v>0</v>
      </c>
      <c r="M108" s="31"/>
      <c r="N108" s="31"/>
      <c r="O108" s="31">
        <f>VLOOKUP(B108,AFTER2,8,0)</f>
        <v>8.8110578703703701E-2</v>
      </c>
      <c r="P108" s="150">
        <f t="shared" si="3"/>
        <v>0.17068002314814815</v>
      </c>
      <c r="R108" s="158">
        <v>47</v>
      </c>
      <c r="S108" s="159">
        <v>97</v>
      </c>
      <c r="T108" s="157">
        <f t="shared" si="2"/>
        <v>47</v>
      </c>
      <c r="U108" s="160">
        <v>1</v>
      </c>
      <c r="V108" s="161">
        <v>153</v>
      </c>
      <c r="W108" s="157">
        <f>SUMIF(T:T,V:V,U:U)</f>
        <v>1</v>
      </c>
    </row>
    <row r="109" spans="1:23" s="69" customFormat="1" ht="13.7" customHeight="1" x14ac:dyDescent="0.25">
      <c r="A109" s="53">
        <v>98</v>
      </c>
      <c r="B109" s="99">
        <v>145</v>
      </c>
      <c r="C109" s="63" t="str">
        <f>VLOOKUP(B109,STARTOVKA,2,0)</f>
        <v>CZE19961105</v>
      </c>
      <c r="D109" s="64" t="str">
        <f>VLOOKUP(B109,STARTOVKA,3,0)</f>
        <v xml:space="preserve">MUŽ Jan </v>
      </c>
      <c r="E109" s="65" t="str">
        <f>VLOOKUP(B109,STARTOVKA,4,0)</f>
        <v xml:space="preserve">MAPEI CYKLO KAŇKOVSKÝ </v>
      </c>
      <c r="F109" s="66">
        <f>VLOOKUP(B109,STARTOVKA,5,0)</f>
        <v>19338</v>
      </c>
      <c r="G109" s="67" t="str">
        <f>VLOOKUP(B109,STARTOVKA,6,0)</f>
        <v>JUNIOR</v>
      </c>
      <c r="H109" s="67" t="str">
        <f>VLOOKUP(B109,STARTOVKA,7,0)</f>
        <v>MAP</v>
      </c>
      <c r="I109" s="68">
        <v>8.2569444444444445E-2</v>
      </c>
      <c r="J109" s="31">
        <f>I109-$I$12</f>
        <v>5.6481481481481521E-3</v>
      </c>
      <c r="K109" s="31">
        <f>M109+N109</f>
        <v>0</v>
      </c>
      <c r="M109" s="31"/>
      <c r="N109" s="31"/>
      <c r="O109" s="31">
        <f>VLOOKUP(B109,AFTER2,8,0)</f>
        <v>8.6415833333333303E-2</v>
      </c>
      <c r="P109" s="150">
        <f t="shared" si="3"/>
        <v>0.16898527777777775</v>
      </c>
      <c r="R109" s="158">
        <v>145</v>
      </c>
      <c r="S109" s="159">
        <v>98</v>
      </c>
      <c r="T109" s="157">
        <f t="shared" si="2"/>
        <v>145</v>
      </c>
      <c r="U109" s="160">
        <v>1</v>
      </c>
      <c r="V109" s="161">
        <v>154</v>
      </c>
      <c r="W109" s="157">
        <f>SUMIF(T:T,V:V,U:U)</f>
        <v>1</v>
      </c>
    </row>
    <row r="110" spans="1:23" s="69" customFormat="1" ht="13.7" customHeight="1" x14ac:dyDescent="0.25">
      <c r="A110" s="53">
        <v>99</v>
      </c>
      <c r="B110" s="99">
        <v>15</v>
      </c>
      <c r="C110" s="63" t="str">
        <f>VLOOKUP(B110,STARTOVKA,2,0)</f>
        <v>GER19980114</v>
      </c>
      <c r="D110" s="64" t="str">
        <f>VLOOKUP(B110,STARTOVKA,3,0)</f>
        <v>BONNES Julius</v>
      </c>
      <c r="E110" s="65" t="str">
        <f>VLOOKUP(B110,STARTOVKA,4,0)</f>
        <v>JUNIOREN SCHWALBE TEAM SACHSEN</v>
      </c>
      <c r="F110" s="66" t="str">
        <f>VLOOKUP(B110,STARTOVKA,5,0)</f>
        <v>SAC 142150</v>
      </c>
      <c r="G110" s="67" t="str">
        <f>VLOOKUP(B110,STARTOVKA,6,0)</f>
        <v>CADET</v>
      </c>
      <c r="H110" s="67" t="str">
        <f>VLOOKUP(B110,STARTOVKA,7,0)</f>
        <v>SCW</v>
      </c>
      <c r="I110" s="68">
        <v>8.340277777777777E-2</v>
      </c>
      <c r="J110" s="31">
        <f>I110-$I$12</f>
        <v>6.481481481481477E-3</v>
      </c>
      <c r="K110" s="31">
        <f>M110+N110</f>
        <v>0</v>
      </c>
      <c r="M110" s="31"/>
      <c r="N110" s="31"/>
      <c r="O110" s="31">
        <f>VLOOKUP(B110,AFTER2,8,0)</f>
        <v>8.6409814814814814E-2</v>
      </c>
      <c r="P110" s="150">
        <f t="shared" si="3"/>
        <v>0.16981259259259257</v>
      </c>
      <c r="R110" s="158">
        <v>15</v>
      </c>
      <c r="S110" s="159">
        <v>99</v>
      </c>
      <c r="T110" s="157">
        <f t="shared" si="2"/>
        <v>15</v>
      </c>
      <c r="U110" s="160">
        <v>1</v>
      </c>
      <c r="V110" s="161">
        <v>161</v>
      </c>
      <c r="W110" s="157">
        <f>SUMIF(T:T,V:V,U:U)</f>
        <v>1</v>
      </c>
    </row>
    <row r="111" spans="1:23" s="69" customFormat="1" ht="13.7" customHeight="1" x14ac:dyDescent="0.25">
      <c r="A111" s="53">
        <v>100</v>
      </c>
      <c r="B111" s="99">
        <v>162</v>
      </c>
      <c r="C111" s="63" t="str">
        <f>VLOOKUP(B111,STARTOVKA,2,0)</f>
        <v>RUS19971119</v>
      </c>
      <c r="D111" s="64" t="str">
        <f>VLOOKUP(B111,STARTOVKA,3,0)</f>
        <v>NECHAEV Vladislav</v>
      </c>
      <c r="E111" s="65" t="str">
        <f>VLOOKUP(B111,STARTOVKA,4,0)</f>
        <v>RUSSIAN CYCLING FEDERATION</v>
      </c>
      <c r="F111" s="66" t="str">
        <f>VLOOKUP(B111,STARTOVKA,5,0)</f>
        <v>B0275</v>
      </c>
      <c r="G111" s="67" t="str">
        <f>VLOOKUP(B111,STARTOVKA,6,0)</f>
        <v>JUNIOR*</v>
      </c>
      <c r="H111" s="67" t="str">
        <f>VLOOKUP(B111,STARTOVKA,7,0)</f>
        <v>RUS</v>
      </c>
      <c r="I111" s="68">
        <v>8.3437499999999998E-2</v>
      </c>
      <c r="J111" s="31">
        <f>I111-$I$12</f>
        <v>6.5162037037037046E-3</v>
      </c>
      <c r="K111" s="31">
        <f>M111+N111</f>
        <v>0</v>
      </c>
      <c r="M111" s="31"/>
      <c r="N111" s="31"/>
      <c r="O111" s="31">
        <f>VLOOKUP(B111,AFTER2,8,0)</f>
        <v>8.548474537037043E-2</v>
      </c>
      <c r="P111" s="150">
        <f t="shared" si="3"/>
        <v>0.16892224537037043</v>
      </c>
      <c r="R111" s="158">
        <v>162</v>
      </c>
      <c r="S111" s="159">
        <v>100</v>
      </c>
      <c r="T111" s="157">
        <f t="shared" si="2"/>
        <v>162</v>
      </c>
      <c r="U111" s="160">
        <v>1</v>
      </c>
      <c r="V111" s="161">
        <v>162</v>
      </c>
      <c r="W111" s="157">
        <f>SUMIF(T:T,V:V,U:U)</f>
        <v>1</v>
      </c>
    </row>
    <row r="112" spans="1:23" s="69" customFormat="1" ht="13.7" customHeight="1" x14ac:dyDescent="0.25">
      <c r="A112" s="53">
        <v>101</v>
      </c>
      <c r="B112" s="99">
        <v>75</v>
      </c>
      <c r="C112" s="63" t="str">
        <f>VLOOKUP(B112,STARTOVKA,2,0)</f>
        <v>SVK19981117</v>
      </c>
      <c r="D112" s="64" t="str">
        <f>VLOOKUP(B112,STARTOVKA,3,0)</f>
        <v>ZEMAN Alex</v>
      </c>
      <c r="E112" s="65" t="str">
        <f>VLOOKUP(B112,STARTOVKA,4,0)</f>
        <v>SLÁVIA ŠG TRENČÍN</v>
      </c>
      <c r="F112" s="66">
        <f>VLOOKUP(B112,STARTOVKA,5,0)</f>
        <v>6021</v>
      </c>
      <c r="G112" s="67" t="str">
        <f>VLOOKUP(B112,STARTOVKA,6,0)</f>
        <v>CADET</v>
      </c>
      <c r="H112" s="67" t="str">
        <f>VLOOKUP(B112,STARTOVKA,7,0)</f>
        <v>SLA</v>
      </c>
      <c r="I112" s="68">
        <v>8.3437499999999998E-2</v>
      </c>
      <c r="J112" s="31">
        <f>I112-$I$12</f>
        <v>6.5162037037037046E-3</v>
      </c>
      <c r="K112" s="31">
        <f>M112+N112</f>
        <v>0</v>
      </c>
      <c r="M112" s="31"/>
      <c r="N112" s="31"/>
      <c r="O112" s="31">
        <f>VLOOKUP(B112,AFTER2,8,0)</f>
        <v>8.6374039351851895E-2</v>
      </c>
      <c r="P112" s="150">
        <f t="shared" si="3"/>
        <v>0.16981153935185189</v>
      </c>
      <c r="R112" s="158">
        <v>75</v>
      </c>
      <c r="S112" s="159">
        <v>101</v>
      </c>
      <c r="T112" s="157">
        <f t="shared" si="2"/>
        <v>75</v>
      </c>
      <c r="U112" s="160">
        <v>1</v>
      </c>
      <c r="V112" s="161">
        <v>163</v>
      </c>
      <c r="W112" s="157">
        <f>SUMIF(T:T,V:V,U:U)</f>
        <v>1</v>
      </c>
    </row>
    <row r="113" spans="1:23" s="69" customFormat="1" ht="13.7" customHeight="1" x14ac:dyDescent="0.25">
      <c r="A113" s="53">
        <v>102</v>
      </c>
      <c r="B113" s="99">
        <v>186</v>
      </c>
      <c r="C113" s="63" t="str">
        <f>VLOOKUP(B113,STARTOVKA,2,0)</f>
        <v>AUT19970406</v>
      </c>
      <c r="D113" s="64" t="str">
        <f>VLOOKUP(B113,STARTOVKA,3,0)</f>
        <v>WINTER Stefan</v>
      </c>
      <c r="E113" s="65" t="str">
        <f>VLOOKUP(B113,STARTOVKA,4,0)</f>
        <v xml:space="preserve">LRV STEIERMARK </v>
      </c>
      <c r="F113" s="66">
        <f>VLOOKUP(B113,STARTOVKA,5,0)</f>
        <v>100838</v>
      </c>
      <c r="G113" s="67" t="str">
        <f>VLOOKUP(B113,STARTOVKA,6,0)</f>
        <v>JUNIOR*</v>
      </c>
      <c r="H113" s="67" t="str">
        <f>VLOOKUP(B113,STARTOVKA,7,0)</f>
        <v>LRV</v>
      </c>
      <c r="I113" s="68">
        <v>8.3564814814814814E-2</v>
      </c>
      <c r="J113" s="31">
        <f>I113-$I$12</f>
        <v>6.6435185185185208E-3</v>
      </c>
      <c r="K113" s="31">
        <f>M113+N113</f>
        <v>0</v>
      </c>
      <c r="M113" s="31"/>
      <c r="N113" s="31"/>
      <c r="O113" s="31">
        <f>VLOOKUP(B113,AFTER2,8,0)</f>
        <v>9.1788715277777766E-2</v>
      </c>
      <c r="P113" s="150">
        <f t="shared" si="3"/>
        <v>0.17535353009259258</v>
      </c>
      <c r="R113" s="158">
        <v>186</v>
      </c>
      <c r="S113" s="159">
        <v>102</v>
      </c>
      <c r="T113" s="157">
        <f t="shared" si="2"/>
        <v>186</v>
      </c>
      <c r="U113" s="160">
        <v>1</v>
      </c>
      <c r="V113" s="161">
        <v>164</v>
      </c>
      <c r="W113" s="157">
        <f>SUMIF(T:T,V:V,U:U)</f>
        <v>1</v>
      </c>
    </row>
    <row r="114" spans="1:23" s="69" customFormat="1" ht="13.7" customHeight="1" x14ac:dyDescent="0.25">
      <c r="A114" s="53">
        <v>103</v>
      </c>
      <c r="B114" s="99">
        <v>112</v>
      </c>
      <c r="C114" s="63" t="str">
        <f>VLOOKUP(B114,STARTOVKA,2,0)</f>
        <v>GER19970122</v>
      </c>
      <c r="D114" s="64" t="str">
        <f>VLOOKUP(B114,STARTOVKA,3,0)</f>
        <v>BERAN Andy</v>
      </c>
      <c r="E114" s="65" t="str">
        <f>VLOOKUP(B114,STARTOVKA,4,0)</f>
        <v>TEAM BRANDENBURG - RSC COTTBUS</v>
      </c>
      <c r="F114" s="66" t="str">
        <f>VLOOKUP(B114,STARTOVKA,5,0)</f>
        <v>604254-11</v>
      </c>
      <c r="G114" s="67" t="str">
        <f>VLOOKUP(B114,STARTOVKA,6,0)</f>
        <v>JUNIOR*</v>
      </c>
      <c r="H114" s="67" t="str">
        <f>VLOOKUP(B114,STARTOVKA,7,0)</f>
        <v>COT</v>
      </c>
      <c r="I114" s="68">
        <v>8.3564814814814814E-2</v>
      </c>
      <c r="J114" s="31">
        <f>I114-$I$12</f>
        <v>6.6435185185185208E-3</v>
      </c>
      <c r="K114" s="31">
        <f>M114+N114</f>
        <v>0</v>
      </c>
      <c r="M114" s="31"/>
      <c r="N114" s="31"/>
      <c r="O114" s="31">
        <f>VLOOKUP(B114,AFTER2,8,0)</f>
        <v>8.6356886574074129E-2</v>
      </c>
      <c r="P114" s="150">
        <f t="shared" si="3"/>
        <v>0.16992170138888896</v>
      </c>
      <c r="R114" s="158">
        <v>112</v>
      </c>
      <c r="S114" s="159">
        <v>103</v>
      </c>
      <c r="T114" s="157">
        <f t="shared" si="2"/>
        <v>112</v>
      </c>
      <c r="U114" s="160">
        <v>1</v>
      </c>
      <c r="V114" s="161">
        <v>165</v>
      </c>
      <c r="W114" s="157">
        <f>SUMIF(T:T,V:V,U:U)</f>
        <v>1</v>
      </c>
    </row>
    <row r="115" spans="1:23" s="69" customFormat="1" ht="13.7" customHeight="1" x14ac:dyDescent="0.25">
      <c r="A115" s="53">
        <v>104</v>
      </c>
      <c r="B115" s="99">
        <v>43</v>
      </c>
      <c r="C115" s="63" t="str">
        <f>VLOOKUP(B115,STARTOVKA,2,0)</f>
        <v>CZE19990209</v>
      </c>
      <c r="D115" s="64" t="str">
        <f>VLOOKUP(B115,STARTOVKA,3,0)</f>
        <v xml:space="preserve">HONZÁK David </v>
      </c>
      <c r="E115" s="65" t="str">
        <f>VLOOKUP(B115,STARTOVKA,4,0)</f>
        <v>KC KOOPERATIVA SG JABLONEC N.N</v>
      </c>
      <c r="F115" s="66">
        <f>VLOOKUP(B115,STARTOVKA,5,0)</f>
        <v>14334</v>
      </c>
      <c r="G115" s="67" t="str">
        <f>VLOOKUP(B115,STARTOVKA,6,0)</f>
        <v>CADET*</v>
      </c>
      <c r="H115" s="67" t="str">
        <f>VLOOKUP(B115,STARTOVKA,7,0)</f>
        <v>KOO</v>
      </c>
      <c r="I115" s="68">
        <v>8.3564814814814814E-2</v>
      </c>
      <c r="J115" s="31">
        <f>I115-$I$12</f>
        <v>6.6435185185185208E-3</v>
      </c>
      <c r="K115" s="31">
        <f>M115+N115</f>
        <v>0</v>
      </c>
      <c r="M115" s="31"/>
      <c r="N115" s="31"/>
      <c r="O115" s="31">
        <f>VLOOKUP(B115,AFTER2,8,0)</f>
        <v>8.6056354166666668E-2</v>
      </c>
      <c r="P115" s="150">
        <f t="shared" si="3"/>
        <v>0.1696211689814815</v>
      </c>
      <c r="R115" s="158">
        <v>43</v>
      </c>
      <c r="S115" s="159">
        <v>104</v>
      </c>
      <c r="T115" s="157">
        <f t="shared" si="2"/>
        <v>43</v>
      </c>
      <c r="U115" s="160">
        <v>1</v>
      </c>
      <c r="V115" s="161">
        <v>166</v>
      </c>
      <c r="W115" s="157">
        <f>SUMIF(T:T,V:V,U:U)</f>
        <v>1</v>
      </c>
    </row>
    <row r="116" spans="1:23" s="69" customFormat="1" ht="13.7" customHeight="1" x14ac:dyDescent="0.25">
      <c r="A116" s="53">
        <v>105</v>
      </c>
      <c r="B116" s="99">
        <v>46</v>
      </c>
      <c r="C116" s="63" t="str">
        <f>VLOOKUP(B116,STARTOVKA,2,0)</f>
        <v>CZE19980811</v>
      </c>
      <c r="D116" s="64" t="str">
        <f>VLOOKUP(B116,STARTOVKA,3,0)</f>
        <v xml:space="preserve">NOVOTNÝ Jakub </v>
      </c>
      <c r="E116" s="65" t="str">
        <f>VLOOKUP(B116,STARTOVKA,4,0)</f>
        <v>KC KOOPERATIVA SG JABLONEC N.N</v>
      </c>
      <c r="F116" s="66">
        <f>VLOOKUP(B116,STARTOVKA,5,0)</f>
        <v>19278</v>
      </c>
      <c r="G116" s="67" t="str">
        <f>VLOOKUP(B116,STARTOVKA,6,0)</f>
        <v>CADET</v>
      </c>
      <c r="H116" s="67" t="str">
        <f>VLOOKUP(B116,STARTOVKA,7,0)</f>
        <v>KOO</v>
      </c>
      <c r="I116" s="68">
        <v>8.3564814814814814E-2</v>
      </c>
      <c r="J116" s="31">
        <f>I116-$I$12</f>
        <v>6.6435185185185208E-3</v>
      </c>
      <c r="K116" s="31">
        <f>M116+N116</f>
        <v>0</v>
      </c>
      <c r="M116" s="31"/>
      <c r="N116" s="31"/>
      <c r="O116" s="31">
        <f>VLOOKUP(B116,AFTER2,8,0)</f>
        <v>9.5774212962962971E-2</v>
      </c>
      <c r="P116" s="150">
        <f t="shared" si="3"/>
        <v>0.17933902777777777</v>
      </c>
      <c r="R116" s="158">
        <v>46</v>
      </c>
      <c r="S116" s="159">
        <v>105</v>
      </c>
      <c r="T116" s="157">
        <f t="shared" si="2"/>
        <v>46</v>
      </c>
      <c r="U116" s="160">
        <v>1</v>
      </c>
      <c r="V116" s="161">
        <v>171</v>
      </c>
      <c r="W116" s="157">
        <f>SUMIF(T:T,V:V,U:U)</f>
        <v>1</v>
      </c>
    </row>
    <row r="117" spans="1:23" s="69" customFormat="1" ht="13.7" customHeight="1" x14ac:dyDescent="0.25">
      <c r="A117" s="53">
        <v>106</v>
      </c>
      <c r="B117" s="99">
        <v>5</v>
      </c>
      <c r="C117" s="63" t="str">
        <f>VLOOKUP(B117,STARTOVKA,2,0)</f>
        <v>GER19960418</v>
      </c>
      <c r="D117" s="64" t="str">
        <f>VLOOKUP(B117,STARTOVKA,3,0)</f>
        <v>JÄGELER Robert</v>
      </c>
      <c r="E117" s="65" t="str">
        <f>VLOOKUP(B117,STARTOVKA,4,0)</f>
        <v>RV ELXLEBEN</v>
      </c>
      <c r="F117" s="66" t="str">
        <f>VLOOKUP(B117,STARTOVKA,5,0)</f>
        <v>THÜ172211</v>
      </c>
      <c r="G117" s="67" t="str">
        <f>VLOOKUP(B117,STARTOVKA,6,0)</f>
        <v>JUNIOR</v>
      </c>
      <c r="H117" s="67" t="str">
        <f>VLOOKUP(B117,STARTOVKA,7,0)</f>
        <v>TUR</v>
      </c>
      <c r="I117" s="68">
        <v>8.3564814814814814E-2</v>
      </c>
      <c r="J117" s="31">
        <f>I117-$I$12</f>
        <v>6.6435185185185208E-3</v>
      </c>
      <c r="K117" s="31">
        <f>M117+N117</f>
        <v>0</v>
      </c>
      <c r="M117" s="31"/>
      <c r="N117" s="31"/>
      <c r="O117" s="31">
        <f>VLOOKUP(B117,AFTER2,8,0)</f>
        <v>8.5438668981481461E-2</v>
      </c>
      <c r="P117" s="150">
        <f t="shared" si="3"/>
        <v>0.16900348379629626</v>
      </c>
      <c r="R117" s="158">
        <v>5</v>
      </c>
      <c r="S117" s="159">
        <v>106</v>
      </c>
      <c r="T117" s="157">
        <f t="shared" si="2"/>
        <v>5</v>
      </c>
      <c r="U117" s="160">
        <v>1</v>
      </c>
      <c r="V117" s="161">
        <v>172</v>
      </c>
      <c r="W117" s="157">
        <f>SUMIF(T:T,V:V,U:U)</f>
        <v>1</v>
      </c>
    </row>
    <row r="118" spans="1:23" s="69" customFormat="1" ht="13.7" customHeight="1" x14ac:dyDescent="0.25">
      <c r="A118" s="53">
        <v>107</v>
      </c>
      <c r="B118" s="99">
        <v>114</v>
      </c>
      <c r="C118" s="63" t="str">
        <f>VLOOKUP(B118,STARTOVKA,2,0)</f>
        <v>GER19960823</v>
      </c>
      <c r="D118" s="64" t="str">
        <f>VLOOKUP(B118,STARTOVKA,3,0)</f>
        <v>SCHLOTT Julius</v>
      </c>
      <c r="E118" s="65" t="str">
        <f>VLOOKUP(B118,STARTOVKA,4,0)</f>
        <v>TEAM BRANDENBURG - RSC COTTBUS</v>
      </c>
      <c r="F118" s="66" t="str">
        <f>VLOOKUP(B118,STARTOVKA,5,0)</f>
        <v>044086-11</v>
      </c>
      <c r="G118" s="67" t="str">
        <f>VLOOKUP(B118,STARTOVKA,6,0)</f>
        <v>JUNIOR</v>
      </c>
      <c r="H118" s="67" t="str">
        <f>VLOOKUP(B118,STARTOVKA,7,0)</f>
        <v>COT</v>
      </c>
      <c r="I118" s="68">
        <v>8.3564814814814814E-2</v>
      </c>
      <c r="J118" s="31">
        <f>I118-$I$12</f>
        <v>6.6435185185185208E-3</v>
      </c>
      <c r="K118" s="31">
        <f>M118+N118</f>
        <v>0</v>
      </c>
      <c r="M118" s="31"/>
      <c r="N118" s="31"/>
      <c r="O118" s="31">
        <f>VLOOKUP(B118,AFTER2,8,0)</f>
        <v>8.5474502314814793E-2</v>
      </c>
      <c r="P118" s="150">
        <f t="shared" si="3"/>
        <v>0.16903931712962961</v>
      </c>
      <c r="R118" s="158">
        <v>114</v>
      </c>
      <c r="S118" s="159">
        <v>107</v>
      </c>
      <c r="T118" s="157">
        <f t="shared" si="2"/>
        <v>114</v>
      </c>
      <c r="U118" s="160">
        <v>1</v>
      </c>
      <c r="V118" s="161">
        <v>173</v>
      </c>
      <c r="W118" s="157">
        <f>SUMIF(T:T,V:V,U:U)</f>
        <v>1</v>
      </c>
    </row>
    <row r="119" spans="1:23" s="69" customFormat="1" ht="13.7" customHeight="1" x14ac:dyDescent="0.25">
      <c r="A119" s="53">
        <v>108</v>
      </c>
      <c r="B119" s="99">
        <v>103</v>
      </c>
      <c r="C119" s="63" t="str">
        <f>VLOOKUP(B119,STARTOVKA,2,0)</f>
        <v>CZE19970319</v>
      </c>
      <c r="D119" s="64" t="str">
        <f>VLOOKUP(B119,STARTOVKA,3,0)</f>
        <v xml:space="preserve">NEUMAN Daniel </v>
      </c>
      <c r="E119" s="65" t="str">
        <f>VLOOKUP(B119,STARTOVKA,4,0)</f>
        <v xml:space="preserve">TJ STADION LOUNY </v>
      </c>
      <c r="F119" s="66">
        <f>VLOOKUP(B119,STARTOVKA,5,0)</f>
        <v>9610</v>
      </c>
      <c r="G119" s="67" t="str">
        <f>VLOOKUP(B119,STARTOVKA,6,0)</f>
        <v>JUNIOR*</v>
      </c>
      <c r="H119" s="67" t="str">
        <f>VLOOKUP(B119,STARTOVKA,7,0)</f>
        <v>LOU</v>
      </c>
      <c r="I119" s="68">
        <v>8.3564814814814814E-2</v>
      </c>
      <c r="J119" s="31">
        <f>I119-$I$12</f>
        <v>6.6435185185185208E-3</v>
      </c>
      <c r="K119" s="31">
        <f>M119+N119</f>
        <v>0</v>
      </c>
      <c r="M119" s="31"/>
      <c r="N119" s="31"/>
      <c r="O119" s="31">
        <f>VLOOKUP(B119,AFTER2,8,0)</f>
        <v>9.5863900462962975E-2</v>
      </c>
      <c r="P119" s="150">
        <f t="shared" si="3"/>
        <v>0.17942871527777779</v>
      </c>
      <c r="R119" s="158">
        <v>103</v>
      </c>
      <c r="S119" s="159">
        <v>108</v>
      </c>
      <c r="T119" s="157">
        <f t="shared" si="2"/>
        <v>103</v>
      </c>
      <c r="U119" s="160">
        <v>1</v>
      </c>
      <c r="V119" s="161">
        <v>174</v>
      </c>
      <c r="W119" s="157">
        <f>SUMIF(T:T,V:V,U:U)</f>
        <v>1</v>
      </c>
    </row>
    <row r="120" spans="1:23" s="69" customFormat="1" ht="13.7" customHeight="1" x14ac:dyDescent="0.25">
      <c r="A120" s="53">
        <v>109</v>
      </c>
      <c r="B120" s="99">
        <v>53</v>
      </c>
      <c r="C120" s="63" t="str">
        <f>VLOOKUP(B120,STARTOVKA,2,0)</f>
        <v>CZE19980914</v>
      </c>
      <c r="D120" s="64" t="str">
        <f>VLOOKUP(B120,STARTOVKA,3,0)</f>
        <v>TRACHTULEC Petr</v>
      </c>
      <c r="E120" s="65" t="str">
        <f>VLOOKUP(B120,STARTOVKA,4,0)</f>
        <v>CK FESO PETŘVALD</v>
      </c>
      <c r="F120" s="66">
        <f>VLOOKUP(B120,STARTOVKA,5,0)</f>
        <v>20073</v>
      </c>
      <c r="G120" s="67" t="str">
        <f>VLOOKUP(B120,STARTOVKA,6,0)</f>
        <v>CADET</v>
      </c>
      <c r="H120" s="67" t="str">
        <f>VLOOKUP(B120,STARTOVKA,7,0)</f>
        <v>GLI</v>
      </c>
      <c r="I120" s="68">
        <v>8.3564814814814814E-2</v>
      </c>
      <c r="J120" s="31">
        <f>I120-$I$12</f>
        <v>6.6435185185185208E-3</v>
      </c>
      <c r="K120" s="31">
        <f>M120+N120</f>
        <v>0</v>
      </c>
      <c r="M120" s="31"/>
      <c r="N120" s="31"/>
      <c r="O120" s="31">
        <f>VLOOKUP(B120,AFTER2,8,0)</f>
        <v>8.6391354166666684E-2</v>
      </c>
      <c r="P120" s="150">
        <f t="shared" si="3"/>
        <v>0.1699561689814815</v>
      </c>
      <c r="R120" s="158">
        <v>53</v>
      </c>
      <c r="S120" s="159">
        <v>109</v>
      </c>
      <c r="T120" s="157">
        <f t="shared" si="2"/>
        <v>53</v>
      </c>
      <c r="U120" s="160">
        <v>1</v>
      </c>
      <c r="V120" s="161">
        <v>175</v>
      </c>
      <c r="W120" s="157">
        <f>SUMIF(T:T,V:V,U:U)</f>
        <v>1</v>
      </c>
    </row>
    <row r="121" spans="1:23" s="69" customFormat="1" ht="13.7" customHeight="1" x14ac:dyDescent="0.25">
      <c r="A121" s="53">
        <v>110</v>
      </c>
      <c r="B121" s="99">
        <v>165</v>
      </c>
      <c r="C121" s="63" t="str">
        <f>VLOOKUP(B121,STARTOVKA,2,0)</f>
        <v>RUS19960517</v>
      </c>
      <c r="D121" s="64" t="str">
        <f>VLOOKUP(B121,STARTOVKA,3,0)</f>
        <v xml:space="preserve">MARTYSHEV Aleksandr </v>
      </c>
      <c r="E121" s="65" t="str">
        <f>VLOOKUP(B121,STARTOVKA,4,0)</f>
        <v>RUSSIAN CYCLING FEDERATION</v>
      </c>
      <c r="F121" s="66" t="str">
        <f>VLOOKUP(B121,STARTOVKA,5,0)</f>
        <v>B0270</v>
      </c>
      <c r="G121" s="67" t="str">
        <f>VLOOKUP(B121,STARTOVKA,6,0)</f>
        <v>JUNIOR</v>
      </c>
      <c r="H121" s="67" t="str">
        <f>VLOOKUP(B121,STARTOVKA,7,0)</f>
        <v>RUS</v>
      </c>
      <c r="I121" s="68">
        <v>8.3564814814814814E-2</v>
      </c>
      <c r="J121" s="31">
        <f>I121-$I$12</f>
        <v>6.6435185185185208E-3</v>
      </c>
      <c r="K121" s="31">
        <f>M121+N121</f>
        <v>0</v>
      </c>
      <c r="M121" s="31"/>
      <c r="N121" s="31"/>
      <c r="O121" s="31">
        <f>VLOOKUP(B121,AFTER2,8,0)</f>
        <v>8.5745590277777811E-2</v>
      </c>
      <c r="P121" s="150">
        <f t="shared" si="3"/>
        <v>0.16931040509259263</v>
      </c>
      <c r="R121" s="158">
        <v>165</v>
      </c>
      <c r="S121" s="159">
        <v>110</v>
      </c>
      <c r="T121" s="157">
        <f t="shared" si="2"/>
        <v>165</v>
      </c>
      <c r="U121" s="160">
        <v>1</v>
      </c>
      <c r="V121" s="161">
        <v>176</v>
      </c>
      <c r="W121" s="157">
        <f>SUMIF(T:T,V:V,U:U)</f>
        <v>1</v>
      </c>
    </row>
    <row r="122" spans="1:23" s="69" customFormat="1" ht="13.7" customHeight="1" x14ac:dyDescent="0.25">
      <c r="A122" s="53">
        <v>111</v>
      </c>
      <c r="B122" s="99">
        <v>23</v>
      </c>
      <c r="C122" s="63" t="str">
        <f>VLOOKUP(B122,STARTOVKA,2,0)</f>
        <v>GER19981211</v>
      </c>
      <c r="D122" s="64" t="str">
        <f>VLOOKUP(B122,STARTOVKA,3,0)</f>
        <v>POUL Rudolph</v>
      </c>
      <c r="E122" s="65" t="str">
        <f>VLOOKUP(B122,STARTOVKA,4,0)</f>
        <v>RG BERLIN</v>
      </c>
      <c r="F122" s="66" t="str">
        <f>VLOOKUP(B122,STARTOVKA,5,0)</f>
        <v>BER 032411</v>
      </c>
      <c r="G122" s="67" t="str">
        <f>VLOOKUP(B122,STARTOVKA,6,0)</f>
        <v>CADET</v>
      </c>
      <c r="H122" s="67" t="str">
        <f>VLOOKUP(B122,STARTOVKA,7,0)</f>
        <v>RGB</v>
      </c>
      <c r="I122" s="68">
        <v>8.4166666666666667E-2</v>
      </c>
      <c r="J122" s="31">
        <f>I122-$I$12</f>
        <v>7.2453703703703742E-3</v>
      </c>
      <c r="K122" s="31">
        <f>M122+N122</f>
        <v>0</v>
      </c>
      <c r="M122" s="31"/>
      <c r="N122" s="31"/>
      <c r="O122" s="31">
        <f>VLOOKUP(B122,AFTER2,8,0)</f>
        <v>8.6466990740740768E-2</v>
      </c>
      <c r="P122" s="150">
        <f t="shared" si="3"/>
        <v>0.17063365740740744</v>
      </c>
      <c r="R122" s="158">
        <v>23</v>
      </c>
      <c r="S122" s="159">
        <v>111</v>
      </c>
      <c r="T122" s="157">
        <f t="shared" si="2"/>
        <v>23</v>
      </c>
      <c r="U122" s="160">
        <v>1</v>
      </c>
      <c r="V122" s="161">
        <v>181</v>
      </c>
      <c r="W122" s="157">
        <f>SUMIF(T:T,V:V,U:U)</f>
        <v>1</v>
      </c>
    </row>
    <row r="123" spans="1:23" s="69" customFormat="1" ht="13.7" customHeight="1" x14ac:dyDescent="0.25">
      <c r="A123" s="53">
        <v>112</v>
      </c>
      <c r="B123" s="99">
        <v>72</v>
      </c>
      <c r="C123" s="63" t="str">
        <f>VLOOKUP(B123,STARTOVKA,2,0)</f>
        <v>SVK19960505</v>
      </c>
      <c r="D123" s="64" t="str">
        <f>VLOOKUP(B123,STARTOVKA,3,0)</f>
        <v>GANC Marek</v>
      </c>
      <c r="E123" s="65" t="str">
        <f>VLOOKUP(B123,STARTOVKA,4,0)</f>
        <v>SLÁVIA ŠG TRENČÍN</v>
      </c>
      <c r="F123" s="66">
        <f>VLOOKUP(B123,STARTOVKA,5,0)</f>
        <v>5847</v>
      </c>
      <c r="G123" s="67" t="str">
        <f>VLOOKUP(B123,STARTOVKA,6,0)</f>
        <v>JUNIOR</v>
      </c>
      <c r="H123" s="67" t="str">
        <f>VLOOKUP(B123,STARTOVKA,7,0)</f>
        <v>SLA</v>
      </c>
      <c r="I123" s="68">
        <v>8.6284722222222221E-2</v>
      </c>
      <c r="J123" s="31">
        <f>I123-$I$12</f>
        <v>9.3634259259259278E-3</v>
      </c>
      <c r="K123" s="31">
        <f>M123+N123</f>
        <v>0</v>
      </c>
      <c r="M123" s="31"/>
      <c r="N123" s="31"/>
      <c r="O123" s="31">
        <f>VLOOKUP(B123,AFTER2,8,0)</f>
        <v>9.5991736111111114E-2</v>
      </c>
      <c r="P123" s="150">
        <f t="shared" si="3"/>
        <v>0.18227645833333334</v>
      </c>
      <c r="R123" s="158">
        <v>72</v>
      </c>
      <c r="S123" s="159">
        <v>112</v>
      </c>
      <c r="T123" s="157">
        <f t="shared" si="2"/>
        <v>72</v>
      </c>
      <c r="U123" s="160">
        <v>1</v>
      </c>
      <c r="V123" s="161">
        <v>182</v>
      </c>
      <c r="W123" s="157">
        <f>SUMIF(T:T,V:V,U:U)</f>
        <v>1</v>
      </c>
    </row>
    <row r="124" spans="1:23" s="69" customFormat="1" ht="13.7" customHeight="1" x14ac:dyDescent="0.25">
      <c r="A124" s="53">
        <v>113</v>
      </c>
      <c r="B124" s="99">
        <v>58</v>
      </c>
      <c r="C124" s="63" t="str">
        <f>VLOOKUP(B124,STARTOVKA,2,0)</f>
        <v>CZE19970902</v>
      </c>
      <c r="D124" s="64" t="str">
        <f>VLOOKUP(B124,STARTOVKA,3,0)</f>
        <v xml:space="preserve">VÝVODA Jan </v>
      </c>
      <c r="E124" s="65" t="str">
        <f>VLOOKUP(B124,STARTOVKA,4,0)</f>
        <v xml:space="preserve">TJ SIGMA HRANICE </v>
      </c>
      <c r="F124" s="66">
        <f>VLOOKUP(B124,STARTOVKA,5,0)</f>
        <v>7780</v>
      </c>
      <c r="G124" s="67" t="str">
        <f>VLOOKUP(B124,STARTOVKA,6,0)</f>
        <v>JUNIOR*</v>
      </c>
      <c r="H124" s="67" t="str">
        <f>VLOOKUP(B124,STARTOVKA,7,0)</f>
        <v>GLI</v>
      </c>
      <c r="I124" s="68">
        <v>8.6956018518518516E-2</v>
      </c>
      <c r="J124" s="31">
        <f>I124-$I$12</f>
        <v>1.0034722222222223E-2</v>
      </c>
      <c r="K124" s="31">
        <f>M124+N124</f>
        <v>0</v>
      </c>
      <c r="M124" s="31"/>
      <c r="N124" s="31"/>
      <c r="O124" s="31">
        <f>VLOOKUP(B124,AFTER2,8,0)</f>
        <v>8.5775567129629637E-2</v>
      </c>
      <c r="P124" s="150">
        <f t="shared" si="3"/>
        <v>0.17273158564814817</v>
      </c>
      <c r="R124" s="158">
        <v>58</v>
      </c>
      <c r="S124" s="159">
        <v>113</v>
      </c>
      <c r="T124" s="157">
        <f t="shared" si="2"/>
        <v>58</v>
      </c>
      <c r="U124" s="160">
        <v>1</v>
      </c>
      <c r="V124" s="161">
        <v>183</v>
      </c>
      <c r="W124" s="157">
        <f>SUMIF(T:T,V:V,U:U)</f>
        <v>1</v>
      </c>
    </row>
    <row r="125" spans="1:23" s="69" customFormat="1" ht="13.7" customHeight="1" x14ac:dyDescent="0.25">
      <c r="A125" s="53">
        <v>114</v>
      </c>
      <c r="B125" s="99">
        <v>9</v>
      </c>
      <c r="C125" s="63" t="str">
        <f>VLOOKUP(B125,STARTOVKA,2,0)</f>
        <v>GER19980730</v>
      </c>
      <c r="D125" s="64" t="str">
        <f>VLOOKUP(B125,STARTOVKA,3,0)</f>
        <v>PLUNTKE Moritz</v>
      </c>
      <c r="E125" s="65" t="str">
        <f>VLOOKUP(B125,STARTOVKA,4,0)</f>
        <v>RSC TURBINE ERFURT</v>
      </c>
      <c r="F125" s="66" t="str">
        <f>VLOOKUP(B125,STARTOVKA,5,0)</f>
        <v>THÜ173593</v>
      </c>
      <c r="G125" s="67" t="str">
        <f>VLOOKUP(B125,STARTOVKA,6,0)</f>
        <v>CADET</v>
      </c>
      <c r="H125" s="67" t="str">
        <f>VLOOKUP(B125,STARTOVKA,7,0)</f>
        <v>TUR</v>
      </c>
      <c r="I125" s="68">
        <v>8.7025462962962971E-2</v>
      </c>
      <c r="J125" s="31">
        <f>I125-$I$12</f>
        <v>1.0104166666666678E-2</v>
      </c>
      <c r="K125" s="31">
        <f>M125+N125</f>
        <v>0</v>
      </c>
      <c r="M125" s="31"/>
      <c r="N125" s="31"/>
      <c r="O125" s="31">
        <f>VLOOKUP(B125,AFTER2,8,0)</f>
        <v>8.6707488425925919E-2</v>
      </c>
      <c r="P125" s="150">
        <f t="shared" si="3"/>
        <v>0.17373295138888889</v>
      </c>
      <c r="R125" s="158">
        <v>9</v>
      </c>
      <c r="S125" s="159">
        <v>114</v>
      </c>
      <c r="T125" s="157">
        <f t="shared" si="2"/>
        <v>9</v>
      </c>
      <c r="U125" s="160">
        <v>1</v>
      </c>
      <c r="V125" s="161">
        <v>184</v>
      </c>
      <c r="W125" s="157">
        <f>SUMIF(T:T,V:V,U:U)</f>
        <v>1</v>
      </c>
    </row>
    <row r="126" spans="1:23" s="69" customFormat="1" ht="13.7" customHeight="1" x14ac:dyDescent="0.25">
      <c r="A126" s="53">
        <v>115</v>
      </c>
      <c r="B126" s="99">
        <v>74</v>
      </c>
      <c r="C126" s="63" t="str">
        <f>VLOOKUP(B126,STARTOVKA,2,0)</f>
        <v>SVK19980324</v>
      </c>
      <c r="D126" s="64" t="str">
        <f>VLOOKUP(B126,STARTOVKA,3,0)</f>
        <v>KOVÁČ Milan</v>
      </c>
      <c r="E126" s="65" t="str">
        <f>VLOOKUP(B126,STARTOVKA,4,0)</f>
        <v>SLÁVIA ŠG TRENČÍN</v>
      </c>
      <c r="F126" s="66">
        <f>VLOOKUP(B126,STARTOVKA,5,0)</f>
        <v>5908</v>
      </c>
      <c r="G126" s="67" t="str">
        <f>VLOOKUP(B126,STARTOVKA,6,0)</f>
        <v>CADET</v>
      </c>
      <c r="H126" s="67" t="str">
        <f>VLOOKUP(B126,STARTOVKA,7,0)</f>
        <v>SLA</v>
      </c>
      <c r="I126" s="68">
        <v>8.7025462962962971E-2</v>
      </c>
      <c r="J126" s="31">
        <f>I126-$I$12</f>
        <v>1.0104166666666678E-2</v>
      </c>
      <c r="K126" s="31">
        <f>M126+N126</f>
        <v>0</v>
      </c>
      <c r="M126" s="31"/>
      <c r="N126" s="31"/>
      <c r="O126" s="31">
        <f>VLOOKUP(B126,AFTER2,8,0)</f>
        <v>9.6478854166666669E-2</v>
      </c>
      <c r="P126" s="150">
        <f t="shared" si="3"/>
        <v>0.18350431712962964</v>
      </c>
      <c r="R126" s="158">
        <v>74</v>
      </c>
      <c r="S126" s="159">
        <v>115</v>
      </c>
      <c r="T126" s="157">
        <f t="shared" si="2"/>
        <v>74</v>
      </c>
      <c r="U126" s="160">
        <v>1</v>
      </c>
      <c r="V126" s="161">
        <v>185</v>
      </c>
      <c r="W126" s="157">
        <f>SUMIF(T:T,V:V,U:U)</f>
        <v>1</v>
      </c>
    </row>
    <row r="127" spans="1:23" s="69" customFormat="1" ht="13.7" customHeight="1" x14ac:dyDescent="0.25">
      <c r="A127" s="53"/>
      <c r="B127" s="99">
        <v>11</v>
      </c>
      <c r="C127" s="63" t="str">
        <f>VLOOKUP(B127,STARTOVKA,2,0)</f>
        <v>GER19961026</v>
      </c>
      <c r="D127" s="64" t="str">
        <f>VLOOKUP(B127,STARTOVKA,3,0)</f>
        <v>FRANZ Paul</v>
      </c>
      <c r="E127" s="65" t="str">
        <f>VLOOKUP(B127,STARTOVKA,4,0)</f>
        <v>JUNIOREN SCHWALBE TEAM SACHSEN</v>
      </c>
      <c r="F127" s="66" t="str">
        <f>VLOOKUP(B127,STARTOVKA,5,0)</f>
        <v>SAC 134886</v>
      </c>
      <c r="G127" s="67" t="str">
        <f>VLOOKUP(B127,STARTOVKA,6,0)</f>
        <v>JUNIOR</v>
      </c>
      <c r="H127" s="67" t="str">
        <f>VLOOKUP(B127,STARTOVKA,7,0)</f>
        <v>SCW</v>
      </c>
      <c r="I127" s="68" t="s">
        <v>127</v>
      </c>
      <c r="J127" s="31"/>
      <c r="K127" s="31">
        <f>M127+N127</f>
        <v>0</v>
      </c>
      <c r="M127" s="31"/>
      <c r="N127" s="31"/>
      <c r="O127" s="31">
        <f>VLOOKUP(B127,AFTER2,8,0)</f>
        <v>8.6112280092592572E-2</v>
      </c>
      <c r="P127" s="150" t="e">
        <f t="shared" si="3"/>
        <v>#VALUE!</v>
      </c>
      <c r="R127" s="158"/>
      <c r="S127" s="159">
        <v>116</v>
      </c>
      <c r="T127" s="157" t="str">
        <f t="shared" si="2"/>
        <v/>
      </c>
      <c r="U127" s="160">
        <v>1</v>
      </c>
      <c r="V127" s="161">
        <v>186</v>
      </c>
      <c r="W127" s="157">
        <f>SUMIF(T:T,V:V,U:U)</f>
        <v>1</v>
      </c>
    </row>
    <row r="128" spans="1:23" s="69" customFormat="1" ht="13.7" customHeight="1" x14ac:dyDescent="0.25">
      <c r="A128" s="53"/>
      <c r="B128" s="99">
        <v>152</v>
      </c>
      <c r="C128" s="63" t="str">
        <f>VLOOKUP(B128,STARTOVKA,2,0)</f>
        <v>CZE19970417</v>
      </c>
      <c r="D128" s="64" t="str">
        <f>VLOOKUP(B128,STARTOVKA,3,0)</f>
        <v>KUBEŠ Martin</v>
      </c>
      <c r="E128" s="65" t="str">
        <f>VLOOKUP(B128,STARTOVKA,4,0)</f>
        <v>CK DACOM PHARMA KYJOV</v>
      </c>
      <c r="F128" s="66">
        <f>VLOOKUP(B128,STARTOVKA,5,0)</f>
        <v>13287</v>
      </c>
      <c r="G128" s="67" t="str">
        <f>VLOOKUP(B128,STARTOVKA,6,0)</f>
        <v>JUNIOR*</v>
      </c>
      <c r="H128" s="67" t="str">
        <f>VLOOKUP(B128,STARTOVKA,7,0)</f>
        <v>SKC</v>
      </c>
      <c r="I128" s="68" t="s">
        <v>127</v>
      </c>
      <c r="J128" s="31"/>
      <c r="K128" s="31">
        <f>M128+N128</f>
        <v>0</v>
      </c>
      <c r="M128" s="31"/>
      <c r="N128" s="31"/>
      <c r="O128" s="31">
        <f>VLOOKUP(B128,AFTER2,8,0)</f>
        <v>8.6681076388888875E-2</v>
      </c>
      <c r="P128" s="150" t="e">
        <f t="shared" si="3"/>
        <v>#VALUE!</v>
      </c>
      <c r="R128" s="158"/>
      <c r="S128" s="159">
        <v>117</v>
      </c>
      <c r="T128" s="157" t="str">
        <f t="shared" si="2"/>
        <v/>
      </c>
      <c r="U128" s="160">
        <v>1</v>
      </c>
      <c r="V128" s="161">
        <v>187</v>
      </c>
      <c r="W128" s="157">
        <f>SUMIF(T:T,V:V,U:U)</f>
        <v>1</v>
      </c>
    </row>
    <row r="129" spans="1:20" s="20" customFormat="1" ht="15" x14ac:dyDescent="0.2">
      <c r="A129" s="26"/>
      <c r="B129" s="52" t="str">
        <f>CTRL!B31</f>
        <v>počet závodíků / num. of riders: 117</v>
      </c>
      <c r="C129" s="52"/>
      <c r="D129" s="27"/>
      <c r="E129" s="54"/>
      <c r="F129" s="26"/>
      <c r="G129" s="26"/>
      <c r="H129" s="26"/>
      <c r="I129" s="26"/>
      <c r="J129" s="26"/>
      <c r="K129" s="26"/>
    </row>
    <row r="130" spans="1:20" s="5" customFormat="1" x14ac:dyDescent="0.2"/>
    <row r="131" spans="1:20" s="5" customFormat="1" ht="17.25" customHeight="1" x14ac:dyDescent="0.2">
      <c r="B131" s="32"/>
      <c r="C131" s="50" t="s">
        <v>64</v>
      </c>
      <c r="D131" s="33"/>
      <c r="E131" s="33"/>
      <c r="F131" s="33"/>
    </row>
    <row r="132" spans="1:20" s="5" customFormat="1" ht="5.25" customHeight="1" x14ac:dyDescent="0.2">
      <c r="B132" s="10"/>
      <c r="C132" s="9"/>
      <c r="D132" s="11"/>
      <c r="E132" s="8"/>
    </row>
    <row r="133" spans="1:20" s="5" customFormat="1" ht="12.75" customHeight="1" x14ac:dyDescent="0.2">
      <c r="B133" s="10"/>
      <c r="C133" s="168" t="s">
        <v>607</v>
      </c>
      <c r="D133" s="11"/>
      <c r="E133" s="8"/>
    </row>
    <row r="134" spans="1:20" s="5" customFormat="1" ht="12.75" customHeight="1" x14ac:dyDescent="0.2">
      <c r="A134" s="263" t="s">
        <v>32</v>
      </c>
      <c r="B134" s="63">
        <v>151</v>
      </c>
      <c r="C134" s="63" t="str">
        <f t="shared" ref="C134:C137" si="4">VLOOKUP(B134,STARTOVKA,2,0)</f>
        <v>CZE19960501</v>
      </c>
      <c r="D134" s="64" t="str">
        <f t="shared" ref="D134:D137" si="5">VLOOKUP(B134,STARTOVKA,3,0)</f>
        <v>TOMAN Vojtěch</v>
      </c>
      <c r="E134" s="65" t="str">
        <f t="shared" ref="E134:E137" si="6">VLOOKUP(B134,STARTOVKA,4,0)</f>
        <v>STEVENS ZNOJMO</v>
      </c>
      <c r="F134" s="63"/>
    </row>
    <row r="135" spans="1:20" s="5" customFormat="1" x14ac:dyDescent="0.2">
      <c r="A135" s="264"/>
      <c r="B135" s="63">
        <v>143</v>
      </c>
      <c r="C135" s="63" t="str">
        <f t="shared" si="4"/>
        <v>CZE19960606</v>
      </c>
      <c r="D135" s="64" t="str">
        <f t="shared" si="5"/>
        <v xml:space="preserve">KOVÁŘ Jan </v>
      </c>
      <c r="E135" s="65" t="str">
        <f t="shared" si="6"/>
        <v xml:space="preserve">MAPEI CYKLO KAŇKOVSKÝ </v>
      </c>
      <c r="F135" s="63"/>
    </row>
    <row r="136" spans="1:20" s="5" customFormat="1" ht="12.75" customHeight="1" x14ac:dyDescent="0.2">
      <c r="A136" s="264"/>
      <c r="B136" s="63">
        <v>2</v>
      </c>
      <c r="C136" s="63" t="str">
        <f t="shared" si="4"/>
        <v>GER19960829</v>
      </c>
      <c r="D136" s="64" t="str">
        <f t="shared" si="5"/>
        <v>SCHUCHMANN Franz-Leon</v>
      </c>
      <c r="E136" s="65" t="str">
        <f t="shared" si="6"/>
        <v>RSV SONNEBERG</v>
      </c>
      <c r="F136" s="63"/>
      <c r="L136" s="223"/>
      <c r="P136" s="310"/>
      <c r="Q136" s="310"/>
      <c r="R136" s="310"/>
      <c r="S136" s="310"/>
      <c r="T136" s="302"/>
    </row>
    <row r="137" spans="1:20" s="5" customFormat="1" x14ac:dyDescent="0.2">
      <c r="A137" s="264"/>
      <c r="B137" s="63">
        <v>176</v>
      </c>
      <c r="C137" s="63" t="str">
        <f t="shared" si="4"/>
        <v>SVK19960130</v>
      </c>
      <c r="D137" s="64" t="str">
        <f t="shared" si="5"/>
        <v>BELLAN Juraj</v>
      </c>
      <c r="E137" s="65" t="str">
        <f t="shared" si="6"/>
        <v xml:space="preserve">SLOVAK CYCLING FEDERATION </v>
      </c>
      <c r="F137" s="63"/>
      <c r="L137" s="223"/>
      <c r="P137" s="302"/>
      <c r="Q137" s="302"/>
      <c r="R137" s="302"/>
      <c r="S137" s="302"/>
      <c r="T137" s="302"/>
    </row>
    <row r="138" spans="1:20" s="5" customFormat="1" ht="7.5" customHeight="1" x14ac:dyDescent="0.2">
      <c r="B138" s="51"/>
      <c r="C138" s="51"/>
      <c r="D138" s="34"/>
      <c r="E138" s="51"/>
      <c r="F138" s="34"/>
      <c r="L138" s="223"/>
      <c r="P138" s="302"/>
      <c r="Q138" s="302"/>
      <c r="R138" s="302"/>
      <c r="S138" s="302"/>
      <c r="T138" s="302"/>
    </row>
    <row r="139" spans="1:20" s="5" customFormat="1" ht="12.75" customHeight="1" x14ac:dyDescent="0.2">
      <c r="B139" s="10"/>
      <c r="C139" s="168" t="s">
        <v>608</v>
      </c>
      <c r="D139" s="11"/>
      <c r="E139" s="8"/>
      <c r="L139" s="223"/>
      <c r="P139" s="302"/>
      <c r="Q139" s="302"/>
      <c r="R139" s="302"/>
      <c r="S139" s="302"/>
      <c r="T139" s="302"/>
    </row>
    <row r="140" spans="1:20" s="5" customFormat="1" ht="12.75" customHeight="1" x14ac:dyDescent="0.2">
      <c r="A140" s="263" t="s">
        <v>31</v>
      </c>
      <c r="B140" s="63">
        <v>165</v>
      </c>
      <c r="C140" s="63" t="str">
        <f t="shared" ref="C140:C143" si="7">VLOOKUP(B140,STARTOVKA,2,0)</f>
        <v>RUS19960517</v>
      </c>
      <c r="D140" s="64" t="str">
        <f t="shared" ref="D140:D143" si="8">VLOOKUP(B140,STARTOVKA,3,0)</f>
        <v xml:space="preserve">MARTYSHEV Aleksandr </v>
      </c>
      <c r="E140" s="65" t="str">
        <f t="shared" ref="E140:E143" si="9">VLOOKUP(B140,STARTOVKA,4,0)</f>
        <v>RUSSIAN CYCLING FEDERATION</v>
      </c>
      <c r="F140" s="63"/>
      <c r="L140" s="223"/>
      <c r="P140" s="309"/>
      <c r="Q140" s="309"/>
      <c r="R140" s="309"/>
      <c r="S140" s="309"/>
      <c r="T140" s="302"/>
    </row>
    <row r="141" spans="1:20" s="5" customFormat="1" ht="12.75" customHeight="1" x14ac:dyDescent="0.2">
      <c r="A141" s="264"/>
      <c r="B141" s="63">
        <v>172</v>
      </c>
      <c r="C141" s="63" t="str">
        <f t="shared" si="7"/>
        <v>SVK19971030</v>
      </c>
      <c r="D141" s="64" t="str">
        <f t="shared" si="8"/>
        <v>ZIMANY Kristian</v>
      </c>
      <c r="E141" s="65" t="str">
        <f t="shared" si="9"/>
        <v xml:space="preserve">SLOVAK CYCLING FEDERATION </v>
      </c>
      <c r="F141" s="63"/>
      <c r="L141" s="223"/>
      <c r="P141" s="309"/>
      <c r="Q141" s="309"/>
      <c r="R141" s="309"/>
      <c r="S141" s="309"/>
      <c r="T141" s="302"/>
    </row>
    <row r="142" spans="1:20" s="5" customFormat="1" ht="12.75" customHeight="1" x14ac:dyDescent="0.2">
      <c r="A142" s="264"/>
      <c r="B142" s="63">
        <v>41</v>
      </c>
      <c r="C142" s="63" t="str">
        <f t="shared" si="7"/>
        <v>CZE19960310</v>
      </c>
      <c r="D142" s="64" t="str">
        <f t="shared" si="8"/>
        <v xml:space="preserve">ŠULC Jakub </v>
      </c>
      <c r="E142" s="65" t="str">
        <f t="shared" si="9"/>
        <v xml:space="preserve">KOLA-BBM.CZ </v>
      </c>
      <c r="F142" s="63"/>
      <c r="P142" s="309"/>
      <c r="Q142" s="309"/>
      <c r="R142" s="309"/>
      <c r="S142" s="309"/>
      <c r="T142" s="302"/>
    </row>
    <row r="143" spans="1:20" s="5" customFormat="1" x14ac:dyDescent="0.2">
      <c r="A143" s="264"/>
      <c r="B143" s="63">
        <v>2</v>
      </c>
      <c r="C143" s="63" t="str">
        <f t="shared" si="7"/>
        <v>GER19960829</v>
      </c>
      <c r="D143" s="64" t="str">
        <f t="shared" si="8"/>
        <v>SCHUCHMANN Franz-Leon</v>
      </c>
      <c r="E143" s="65" t="str">
        <f t="shared" si="9"/>
        <v>RSV SONNEBERG</v>
      </c>
      <c r="F143" s="63"/>
      <c r="P143" s="309"/>
      <c r="Q143" s="309"/>
      <c r="R143" s="309"/>
      <c r="S143" s="309"/>
      <c r="T143" s="302"/>
    </row>
    <row r="144" spans="1:20" s="5" customFormat="1" x14ac:dyDescent="0.2">
      <c r="B144" s="10"/>
      <c r="C144" s="19"/>
      <c r="P144" s="309"/>
      <c r="Q144" s="309"/>
      <c r="R144" s="309"/>
      <c r="S144" s="309"/>
      <c r="T144" s="302"/>
    </row>
    <row r="145" spans="1:20" s="5" customFormat="1" ht="12.75" customHeight="1" x14ac:dyDescent="0.2">
      <c r="B145" s="10"/>
      <c r="C145" s="168" t="s">
        <v>627</v>
      </c>
      <c r="D145" s="11"/>
      <c r="E145" s="8"/>
      <c r="P145" s="309"/>
      <c r="Q145" s="309"/>
      <c r="R145" s="309"/>
      <c r="S145" s="309"/>
      <c r="T145" s="302"/>
    </row>
    <row r="146" spans="1:20" s="5" customFormat="1" ht="12.75" customHeight="1" x14ac:dyDescent="0.2">
      <c r="A146" s="263" t="s">
        <v>605</v>
      </c>
      <c r="B146" s="63">
        <v>172</v>
      </c>
      <c r="C146" s="63" t="str">
        <f t="shared" ref="C146:C149" si="10">VLOOKUP(B146,STARTOVKA,2,0)</f>
        <v>SVK19971030</v>
      </c>
      <c r="D146" s="64" t="str">
        <f t="shared" ref="D146:D149" si="11">VLOOKUP(B146,STARTOVKA,3,0)</f>
        <v>ZIMANY Kristian</v>
      </c>
      <c r="E146" s="65" t="str">
        <f t="shared" ref="E146:E149" si="12">VLOOKUP(B146,STARTOVKA,4,0)</f>
        <v xml:space="preserve">SLOVAK CYCLING FEDERATION </v>
      </c>
      <c r="F146" s="63"/>
      <c r="P146" s="309"/>
      <c r="Q146" s="309"/>
      <c r="R146" s="309"/>
      <c r="S146" s="309"/>
      <c r="T146" s="302"/>
    </row>
    <row r="147" spans="1:20" s="5" customFormat="1" ht="12.75" customHeight="1" x14ac:dyDescent="0.2">
      <c r="A147" s="264"/>
      <c r="B147" s="63">
        <v>41</v>
      </c>
      <c r="C147" s="63" t="str">
        <f t="shared" si="10"/>
        <v>CZE19960310</v>
      </c>
      <c r="D147" s="64" t="str">
        <f t="shared" si="11"/>
        <v xml:space="preserve">ŠULC Jakub </v>
      </c>
      <c r="E147" s="65" t="str">
        <f t="shared" si="12"/>
        <v xml:space="preserve">KOLA-BBM.CZ </v>
      </c>
      <c r="F147" s="63"/>
      <c r="P147" s="309"/>
      <c r="Q147" s="309"/>
      <c r="R147" s="309"/>
      <c r="S147" s="309"/>
      <c r="T147" s="302"/>
    </row>
    <row r="148" spans="1:20" s="5" customFormat="1" ht="12.75" customHeight="1" x14ac:dyDescent="0.2">
      <c r="A148" s="264"/>
      <c r="B148" s="63">
        <v>115</v>
      </c>
      <c r="C148" s="63" t="str">
        <f t="shared" si="10"/>
        <v>GER19961029</v>
      </c>
      <c r="D148" s="64" t="str">
        <f t="shared" si="11"/>
        <v>KOCH Chrisitan</v>
      </c>
      <c r="E148" s="65" t="str">
        <f t="shared" si="12"/>
        <v>TEAM BRANDENBURG - RSC COTTBUS</v>
      </c>
      <c r="F148" s="63"/>
      <c r="P148" s="309"/>
      <c r="Q148" s="309"/>
      <c r="R148" s="309"/>
      <c r="S148" s="309"/>
      <c r="T148" s="302"/>
    </row>
    <row r="149" spans="1:20" s="5" customFormat="1" x14ac:dyDescent="0.2">
      <c r="A149" s="264"/>
      <c r="B149" s="63">
        <v>165</v>
      </c>
      <c r="C149" s="63" t="str">
        <f t="shared" si="10"/>
        <v>RUS19960517</v>
      </c>
      <c r="D149" s="64" t="str">
        <f t="shared" si="11"/>
        <v xml:space="preserve">MARTYSHEV Aleksandr </v>
      </c>
      <c r="E149" s="65" t="str">
        <f t="shared" si="12"/>
        <v>RUSSIAN CYCLING FEDERATION</v>
      </c>
      <c r="F149" s="63"/>
      <c r="P149" s="309"/>
      <c r="Q149" s="309"/>
      <c r="R149" s="309"/>
      <c r="S149" s="309"/>
      <c r="T149" s="302"/>
    </row>
    <row r="150" spans="1:20" s="302" customFormat="1" x14ac:dyDescent="0.2">
      <c r="A150" s="242"/>
      <c r="B150" s="299"/>
      <c r="C150" s="299"/>
      <c r="D150" s="300"/>
      <c r="E150" s="301"/>
      <c r="F150" s="299"/>
      <c r="P150" s="309"/>
      <c r="Q150" s="309"/>
      <c r="R150" s="309"/>
      <c r="S150" s="309"/>
    </row>
    <row r="151" spans="1:20" s="302" customFormat="1" x14ac:dyDescent="0.2">
      <c r="A151" s="5"/>
      <c r="B151" s="10"/>
      <c r="C151" s="168" t="s">
        <v>628</v>
      </c>
      <c r="D151" s="11"/>
      <c r="E151" s="8"/>
      <c r="F151" s="5"/>
      <c r="P151" s="309"/>
      <c r="Q151" s="309"/>
      <c r="R151" s="309"/>
      <c r="S151" s="309"/>
    </row>
    <row r="152" spans="1:20" s="302" customFormat="1" x14ac:dyDescent="0.2">
      <c r="A152" s="263" t="s">
        <v>606</v>
      </c>
      <c r="B152" s="63">
        <v>115</v>
      </c>
      <c r="C152" s="63" t="str">
        <f t="shared" ref="C152:C155" si="13">VLOOKUP(B152,STARTOVKA,2,0)</f>
        <v>GER19961029</v>
      </c>
      <c r="D152" s="64" t="str">
        <f t="shared" ref="D152:D155" si="14">VLOOKUP(B152,STARTOVKA,3,0)</f>
        <v>KOCH Chrisitan</v>
      </c>
      <c r="E152" s="65" t="str">
        <f t="shared" ref="E152:E155" si="15">VLOOKUP(B152,STARTOVKA,4,0)</f>
        <v>TEAM BRANDENBURG - RSC COTTBUS</v>
      </c>
      <c r="F152" s="63"/>
      <c r="P152" s="309"/>
      <c r="Q152" s="309"/>
      <c r="R152" s="309"/>
      <c r="S152" s="309"/>
    </row>
    <row r="153" spans="1:20" s="302" customFormat="1" x14ac:dyDescent="0.2">
      <c r="A153" s="264"/>
      <c r="B153" s="63">
        <v>172</v>
      </c>
      <c r="C153" s="63" t="str">
        <f t="shared" si="13"/>
        <v>SVK19971030</v>
      </c>
      <c r="D153" s="64" t="str">
        <f t="shared" si="14"/>
        <v>ZIMANY Kristian</v>
      </c>
      <c r="E153" s="65" t="str">
        <f t="shared" si="15"/>
        <v xml:space="preserve">SLOVAK CYCLING FEDERATION </v>
      </c>
      <c r="F153" s="63"/>
      <c r="P153" s="309"/>
      <c r="Q153" s="309"/>
      <c r="R153" s="309"/>
      <c r="S153" s="309"/>
    </row>
    <row r="154" spans="1:20" s="302" customFormat="1" x14ac:dyDescent="0.2">
      <c r="A154" s="264"/>
      <c r="B154" s="63">
        <v>41</v>
      </c>
      <c r="C154" s="63" t="str">
        <f t="shared" si="13"/>
        <v>CZE19960310</v>
      </c>
      <c r="D154" s="64" t="str">
        <f t="shared" si="14"/>
        <v xml:space="preserve">ŠULC Jakub </v>
      </c>
      <c r="E154" s="65" t="str">
        <f t="shared" si="15"/>
        <v xml:space="preserve">KOLA-BBM.CZ </v>
      </c>
      <c r="F154" s="63"/>
      <c r="P154" s="309"/>
      <c r="Q154" s="309"/>
      <c r="R154" s="309"/>
      <c r="S154" s="309"/>
    </row>
    <row r="155" spans="1:20" s="302" customFormat="1" x14ac:dyDescent="0.2">
      <c r="A155" s="264"/>
      <c r="B155" s="63">
        <v>175</v>
      </c>
      <c r="C155" s="63" t="str">
        <f t="shared" si="13"/>
        <v>SVK19960415</v>
      </c>
      <c r="D155" s="64" t="str">
        <f t="shared" si="14"/>
        <v>ZVERKO David</v>
      </c>
      <c r="E155" s="65" t="str">
        <f t="shared" si="15"/>
        <v xml:space="preserve">SLOVAK CYCLING FEDERATION </v>
      </c>
      <c r="F155" s="63"/>
      <c r="P155" s="309"/>
      <c r="Q155" s="309"/>
      <c r="R155" s="309"/>
      <c r="S155" s="309"/>
    </row>
    <row r="156" spans="1:20" s="302" customFormat="1" x14ac:dyDescent="0.2">
      <c r="A156" s="242"/>
      <c r="B156" s="299"/>
      <c r="C156" s="299"/>
      <c r="D156" s="300"/>
      <c r="E156" s="301"/>
      <c r="F156" s="299"/>
      <c r="P156" s="309"/>
      <c r="Q156" s="309"/>
      <c r="R156" s="309"/>
      <c r="S156" s="309"/>
    </row>
    <row r="157" spans="1:20" s="302" customFormat="1" x14ac:dyDescent="0.2">
      <c r="A157" s="242"/>
      <c r="B157" s="166" t="s">
        <v>625</v>
      </c>
      <c r="C157" s="166"/>
      <c r="D157" s="166"/>
      <c r="E157" s="166"/>
      <c r="F157" s="299"/>
      <c r="P157" s="309"/>
      <c r="Q157" s="309"/>
      <c r="R157" s="309"/>
      <c r="S157" s="309"/>
    </row>
    <row r="158" spans="1:20" s="302" customFormat="1" x14ac:dyDescent="0.2">
      <c r="A158" s="242"/>
      <c r="B158" s="5"/>
      <c r="C158" s="5"/>
      <c r="D158" s="5"/>
      <c r="E158" s="5"/>
      <c r="F158" s="299"/>
      <c r="P158" s="309"/>
      <c r="Q158" s="309"/>
      <c r="R158" s="309"/>
      <c r="S158" s="309"/>
    </row>
    <row r="159" spans="1:20" s="302" customFormat="1" x14ac:dyDescent="0.2">
      <c r="A159" s="242"/>
      <c r="B159" s="311" t="s">
        <v>626</v>
      </c>
      <c r="C159" s="311"/>
      <c r="D159" s="311"/>
      <c r="E159" s="5"/>
      <c r="F159" s="299"/>
      <c r="P159" s="309"/>
      <c r="Q159" s="309"/>
      <c r="R159" s="309"/>
      <c r="S159" s="309"/>
    </row>
    <row r="160" spans="1:20" s="302" customFormat="1" ht="12.75" customHeight="1" x14ac:dyDescent="0.2">
      <c r="A160" s="242"/>
      <c r="B160" s="311"/>
      <c r="C160" s="311"/>
      <c r="D160" s="311"/>
      <c r="E160" s="223"/>
      <c r="F160" s="299"/>
      <c r="P160" s="309"/>
      <c r="Q160" s="309"/>
      <c r="R160" s="309"/>
      <c r="S160" s="309"/>
    </row>
    <row r="161" spans="1:20" s="302" customFormat="1" x14ac:dyDescent="0.2">
      <c r="A161" s="242"/>
      <c r="B161" s="311"/>
      <c r="C161" s="311"/>
      <c r="D161" s="311"/>
      <c r="E161" s="223"/>
      <c r="F161" s="299"/>
      <c r="P161" s="309"/>
      <c r="Q161" s="309"/>
      <c r="R161" s="309"/>
      <c r="S161" s="309"/>
    </row>
    <row r="162" spans="1:20" s="302" customFormat="1" x14ac:dyDescent="0.2">
      <c r="A162" s="242"/>
      <c r="B162" s="311"/>
      <c r="C162" s="311"/>
      <c r="D162" s="311"/>
      <c r="E162" s="223"/>
      <c r="F162" s="299"/>
      <c r="P162" s="309"/>
      <c r="Q162" s="309"/>
      <c r="R162" s="309"/>
      <c r="S162" s="309"/>
    </row>
    <row r="163" spans="1:20" s="302" customFormat="1" x14ac:dyDescent="0.2">
      <c r="A163" s="242"/>
      <c r="B163" s="311"/>
      <c r="C163" s="311"/>
      <c r="D163" s="311"/>
      <c r="E163" s="223"/>
      <c r="F163" s="299"/>
      <c r="P163" s="309"/>
      <c r="Q163" s="309"/>
      <c r="R163" s="309"/>
      <c r="S163" s="309"/>
    </row>
    <row r="164" spans="1:20" s="302" customFormat="1" x14ac:dyDescent="0.2">
      <c r="A164" s="242"/>
      <c r="B164" s="311"/>
      <c r="C164" s="311"/>
      <c r="D164" s="311"/>
      <c r="E164" s="223"/>
      <c r="F164" s="299"/>
      <c r="P164" s="309"/>
      <c r="Q164" s="309"/>
      <c r="R164" s="309"/>
      <c r="S164" s="309"/>
    </row>
    <row r="165" spans="1:20" s="302" customFormat="1" x14ac:dyDescent="0.2">
      <c r="A165" s="242"/>
      <c r="B165" s="311"/>
      <c r="C165" s="311"/>
      <c r="D165" s="311"/>
      <c r="E165" s="223"/>
      <c r="F165" s="299"/>
      <c r="P165" s="309"/>
      <c r="Q165" s="309"/>
      <c r="R165" s="309"/>
      <c r="S165" s="309"/>
    </row>
    <row r="166" spans="1:20" s="302" customFormat="1" x14ac:dyDescent="0.2">
      <c r="A166" s="242"/>
      <c r="B166" s="223"/>
      <c r="C166" s="223"/>
      <c r="D166" s="223"/>
      <c r="E166" s="223"/>
      <c r="F166" s="299"/>
      <c r="P166" s="309"/>
      <c r="Q166" s="309"/>
      <c r="R166" s="309"/>
      <c r="S166" s="309"/>
    </row>
    <row r="167" spans="1:20" s="302" customFormat="1" x14ac:dyDescent="0.2">
      <c r="A167" s="242"/>
      <c r="B167" s="259" t="s">
        <v>629</v>
      </c>
      <c r="C167" s="259"/>
      <c r="D167" s="259"/>
      <c r="E167" s="223"/>
      <c r="F167" s="299"/>
      <c r="P167" s="309"/>
      <c r="Q167" s="309"/>
      <c r="R167" s="309"/>
      <c r="S167" s="309"/>
    </row>
    <row r="168" spans="1:20" s="302" customFormat="1" x14ac:dyDescent="0.2">
      <c r="A168" s="242"/>
      <c r="B168" s="259"/>
      <c r="C168" s="259"/>
      <c r="D168" s="259"/>
      <c r="E168" s="301"/>
      <c r="F168" s="299"/>
      <c r="P168" s="309"/>
      <c r="Q168" s="309"/>
      <c r="R168" s="309"/>
      <c r="S168" s="309"/>
    </row>
    <row r="169" spans="1:20" s="302" customFormat="1" x14ac:dyDescent="0.2">
      <c r="A169" s="242"/>
      <c r="B169" s="259"/>
      <c r="C169" s="259"/>
      <c r="D169" s="259"/>
      <c r="E169" s="301"/>
      <c r="F169" s="299"/>
      <c r="P169" s="309"/>
      <c r="Q169" s="309"/>
      <c r="R169" s="309"/>
      <c r="S169" s="309"/>
    </row>
    <row r="170" spans="1:20" s="302" customFormat="1" x14ac:dyDescent="0.2">
      <c r="A170" s="242"/>
      <c r="B170" s="259"/>
      <c r="C170" s="259"/>
      <c r="D170" s="259"/>
      <c r="E170" s="301"/>
      <c r="F170" s="299"/>
      <c r="P170" s="309"/>
      <c r="Q170" s="309"/>
      <c r="R170" s="309"/>
      <c r="S170" s="309"/>
    </row>
    <row r="171" spans="1:20" s="302" customFormat="1" x14ac:dyDescent="0.2">
      <c r="A171" s="242"/>
      <c r="B171" s="299"/>
      <c r="C171" s="299"/>
      <c r="D171" s="300"/>
      <c r="E171" s="301"/>
      <c r="F171" s="299"/>
      <c r="P171" s="309"/>
      <c r="Q171" s="309"/>
      <c r="R171" s="309"/>
      <c r="S171" s="309"/>
    </row>
    <row r="172" spans="1:20" s="302" customFormat="1" x14ac:dyDescent="0.2">
      <c r="A172" s="242"/>
      <c r="B172" s="299"/>
      <c r="C172" s="299"/>
      <c r="D172" s="300"/>
      <c r="E172" s="301"/>
      <c r="F172" s="299"/>
      <c r="P172" s="309"/>
      <c r="Q172" s="309"/>
      <c r="R172" s="309"/>
      <c r="S172" s="309"/>
    </row>
    <row r="173" spans="1:20" s="302" customFormat="1" x14ac:dyDescent="0.2">
      <c r="A173" s="242"/>
      <c r="B173" s="299"/>
      <c r="C173" s="299"/>
      <c r="D173" s="300"/>
      <c r="E173" s="301"/>
      <c r="F173" s="299"/>
      <c r="P173" s="309"/>
      <c r="Q173" s="309"/>
      <c r="R173" s="309"/>
      <c r="S173" s="309"/>
    </row>
    <row r="174" spans="1:20" s="302" customFormat="1" x14ac:dyDescent="0.2">
      <c r="A174" s="242"/>
      <c r="B174" s="299"/>
      <c r="C174" s="299"/>
      <c r="D174" s="300"/>
      <c r="E174" s="301"/>
      <c r="F174" s="299"/>
      <c r="P174" s="309"/>
      <c r="Q174" s="309"/>
      <c r="R174" s="309"/>
      <c r="S174" s="309"/>
    </row>
    <row r="175" spans="1:20" x14ac:dyDescent="0.2">
      <c r="P175" s="309"/>
      <c r="Q175" s="309"/>
      <c r="R175" s="309"/>
      <c r="S175" s="309"/>
      <c r="T175" s="302"/>
    </row>
    <row r="176" spans="1:20" ht="6" customHeight="1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P176" s="309"/>
      <c r="Q176" s="309"/>
      <c r="R176" s="309"/>
      <c r="S176" s="309"/>
      <c r="T176" s="302"/>
    </row>
    <row r="177" spans="1:20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P177" s="309"/>
      <c r="Q177" s="309"/>
      <c r="R177" s="309"/>
      <c r="S177" s="309"/>
      <c r="T177" s="302"/>
    </row>
    <row r="178" spans="1:20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P178" s="302"/>
      <c r="Q178" s="302"/>
      <c r="R178" s="302"/>
      <c r="S178" s="302"/>
      <c r="T178" s="302"/>
    </row>
    <row r="179" spans="1:20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P179" s="302"/>
      <c r="Q179" s="302"/>
      <c r="R179" s="302"/>
      <c r="S179" s="302"/>
      <c r="T179" s="302"/>
    </row>
    <row r="180" spans="1:20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P180" s="309"/>
      <c r="Q180" s="309"/>
      <c r="R180" s="309"/>
      <c r="S180" s="309"/>
      <c r="T180" s="302"/>
    </row>
    <row r="181" spans="1:20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P181" s="309"/>
      <c r="Q181" s="309"/>
      <c r="R181" s="309"/>
      <c r="S181" s="309"/>
      <c r="T181" s="302"/>
    </row>
    <row r="182" spans="1:20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P182" s="309"/>
      <c r="Q182" s="309"/>
      <c r="R182" s="309"/>
      <c r="S182" s="309"/>
      <c r="T182" s="302"/>
    </row>
    <row r="183" spans="1:20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P183" s="309"/>
      <c r="Q183" s="309"/>
      <c r="R183" s="309"/>
      <c r="S183" s="309"/>
      <c r="T183" s="302"/>
    </row>
    <row r="184" spans="1:20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P184" s="309"/>
      <c r="Q184" s="309"/>
      <c r="R184" s="309"/>
      <c r="S184" s="309"/>
      <c r="T184" s="302"/>
    </row>
    <row r="185" spans="1:20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P185" s="309"/>
      <c r="Q185" s="309"/>
      <c r="R185" s="309"/>
      <c r="S185" s="309"/>
      <c r="T185" s="302"/>
    </row>
    <row r="186" spans="1:20" ht="6" customHeight="1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P186" s="309"/>
      <c r="Q186" s="309"/>
      <c r="R186" s="309"/>
      <c r="S186" s="309"/>
      <c r="T186" s="302"/>
    </row>
    <row r="187" spans="1:20" ht="11.45" customHeight="1" x14ac:dyDescent="0.2">
      <c r="A187" s="255" t="s">
        <v>44</v>
      </c>
      <c r="B187" s="255"/>
      <c r="C187" s="255"/>
      <c r="D187" s="255"/>
      <c r="E187" s="255"/>
      <c r="F187" s="255"/>
      <c r="G187" s="255"/>
      <c r="H187" s="255"/>
      <c r="I187" s="255"/>
      <c r="J187" s="255"/>
      <c r="K187" s="255"/>
      <c r="P187" s="309"/>
      <c r="Q187" s="309"/>
      <c r="R187" s="309"/>
      <c r="S187" s="309"/>
      <c r="T187" s="302"/>
    </row>
    <row r="188" spans="1:20" x14ac:dyDescent="0.2">
      <c r="P188" s="309"/>
      <c r="Q188" s="309"/>
      <c r="R188" s="309"/>
      <c r="S188" s="309"/>
      <c r="T188" s="302"/>
    </row>
    <row r="189" spans="1:20" x14ac:dyDescent="0.2">
      <c r="P189" s="309"/>
      <c r="Q189" s="309"/>
      <c r="R189" s="309"/>
      <c r="S189" s="309"/>
      <c r="T189" s="302"/>
    </row>
    <row r="190" spans="1:20" x14ac:dyDescent="0.2">
      <c r="P190" s="309"/>
      <c r="Q190" s="309"/>
      <c r="R190" s="309"/>
      <c r="S190" s="309"/>
      <c r="T190" s="302"/>
    </row>
    <row r="191" spans="1:20" x14ac:dyDescent="0.2">
      <c r="P191" s="309"/>
      <c r="Q191" s="309"/>
      <c r="R191" s="309"/>
      <c r="S191" s="309"/>
      <c r="T191" s="302"/>
    </row>
    <row r="192" spans="1:20" x14ac:dyDescent="0.2">
      <c r="P192" s="309"/>
      <c r="Q192" s="309"/>
      <c r="R192" s="309"/>
      <c r="S192" s="309"/>
      <c r="T192" s="302"/>
    </row>
    <row r="193" spans="16:20" x14ac:dyDescent="0.2">
      <c r="P193" s="309"/>
      <c r="Q193" s="309"/>
      <c r="R193" s="309"/>
      <c r="S193" s="309"/>
      <c r="T193" s="302"/>
    </row>
  </sheetData>
  <sortState ref="A12:N128">
    <sortCondition ref="A12"/>
  </sortState>
  <mergeCells count="11">
    <mergeCell ref="A146:A149"/>
    <mergeCell ref="A187:K187"/>
    <mergeCell ref="A152:A155"/>
    <mergeCell ref="B159:D165"/>
    <mergeCell ref="B167:D170"/>
    <mergeCell ref="A1:K1"/>
    <mergeCell ref="A2:K2"/>
    <mergeCell ref="D3:H3"/>
    <mergeCell ref="A5:K5"/>
    <mergeCell ref="A134:A137"/>
    <mergeCell ref="A140:A143"/>
  </mergeCells>
  <conditionalFormatting sqref="K12:K128">
    <cfRule type="cellIs" dxfId="5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abSelected="1"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251" t="str">
        <f>CTRL!B24</f>
        <v>po 3. etapě / after 3rd Stage</v>
      </c>
      <c r="E3" s="251"/>
      <c r="F3" s="251"/>
      <c r="G3" s="251"/>
      <c r="H3" s="251"/>
      <c r="I3" s="49"/>
      <c r="K3" s="2" t="str">
        <f>"Com.no.: 19/" &amp; CTRL!B27</f>
        <v>Com.no.: 19/31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48" t="s">
        <v>0</v>
      </c>
      <c r="B7" s="248" t="s">
        <v>1</v>
      </c>
      <c r="C7" s="248" t="s">
        <v>2</v>
      </c>
      <c r="D7" s="248" t="s">
        <v>3</v>
      </c>
      <c r="E7" s="248" t="s">
        <v>4</v>
      </c>
      <c r="F7" s="248" t="s">
        <v>5</v>
      </c>
      <c r="G7" s="248" t="s">
        <v>65</v>
      </c>
      <c r="H7" s="248" t="s">
        <v>12</v>
      </c>
      <c r="I7" s="248" t="s">
        <v>58</v>
      </c>
      <c r="J7" s="248" t="s">
        <v>27</v>
      </c>
      <c r="K7" s="24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M10" s="146"/>
      <c r="N10" s="146"/>
      <c r="P10" s="266" t="s">
        <v>19</v>
      </c>
      <c r="Q10" s="266"/>
      <c r="R10" s="266"/>
      <c r="S10" s="266"/>
      <c r="T10" s="265" t="s">
        <v>18</v>
      </c>
      <c r="U10" s="265"/>
      <c r="V10" s="265"/>
      <c r="W10" s="265"/>
      <c r="X10" s="266" t="s">
        <v>17</v>
      </c>
      <c r="Y10" s="266"/>
      <c r="Z10" s="266"/>
      <c r="AA10" s="266"/>
      <c r="AB10" s="265" t="s">
        <v>16</v>
      </c>
      <c r="AC10" s="265"/>
      <c r="AD10" s="265"/>
      <c r="AE10" s="265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CTRL!C4&amp; " km"</f>
        <v>Délka / Distance: 152,5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ROUND(CTRL!C4/(HOUR($I$12)+(MINUTE($I$12)+SECOND($I$12)/60)/60),2) &amp; " km/h"</f>
        <v>Průměrná rychlost / Average Speed: 39,28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>VLOOKUP(B12,STARTOVKA,2,0)</f>
        <v>GER19960909</v>
      </c>
      <c r="D12" s="64" t="str">
        <f>VLOOKUP(B12,STARTOVKA,3,0)</f>
        <v>KÄMNA Lennard</v>
      </c>
      <c r="E12" s="65" t="str">
        <f>VLOOKUP(B12,STARTOVKA,4,0)</f>
        <v>TEAM BRANDENBURG - RSC COTTBUS</v>
      </c>
      <c r="F12" s="66" t="str">
        <f>VLOOKUP(B12,STARTOVKA,5,0)</f>
        <v>050980-11</v>
      </c>
      <c r="G12" s="67" t="str">
        <f>VLOOKUP(B12,STARTOVKA,6,0)</f>
        <v>JUNIOR</v>
      </c>
      <c r="H12" s="67" t="str">
        <f>VLOOKUP(B12,STARTOVKA,7,0)</f>
        <v>COT</v>
      </c>
      <c r="I12" s="199">
        <f>SUM(R12,V12,Z12,AD12)-SUM(S12,W12,AA12,AE12)+AF12</f>
        <v>0.16178561342592593</v>
      </c>
      <c r="J12" s="31">
        <f>I12-$I$12</f>
        <v>0</v>
      </c>
      <c r="K12" s="31"/>
      <c r="M12" s="69">
        <f>A12</f>
        <v>1</v>
      </c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40">
        <v>6.7045949074074074E-3</v>
      </c>
      <c r="W12" s="38"/>
      <c r="X12" s="36">
        <v>8</v>
      </c>
      <c r="Y12" s="43">
        <v>116</v>
      </c>
      <c r="Z12" s="41">
        <v>7.7268518518518514E-2</v>
      </c>
      <c r="AA12" s="35">
        <v>0</v>
      </c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115</v>
      </c>
      <c r="C13" s="63" t="str">
        <f>VLOOKUP(B13,STARTOVKA,2,0)</f>
        <v>GER19961029</v>
      </c>
      <c r="D13" s="64" t="str">
        <f>VLOOKUP(B13,STARTOVKA,3,0)</f>
        <v>KOCH Chrisitan</v>
      </c>
      <c r="E13" s="65" t="str">
        <f>VLOOKUP(B13,STARTOVKA,4,0)</f>
        <v>TEAM BRANDENBURG - RSC COTTBUS</v>
      </c>
      <c r="F13" s="66" t="str">
        <f>VLOOKUP(B13,STARTOVKA,5,0)</f>
        <v>043833-11</v>
      </c>
      <c r="G13" s="67" t="str">
        <f>VLOOKUP(B13,STARTOVKA,6,0)</f>
        <v>JUNIOR</v>
      </c>
      <c r="H13" s="67" t="str">
        <f>VLOOKUP(B13,STARTOVKA,7,0)</f>
        <v>COT</v>
      </c>
      <c r="I13" s="199">
        <f>SUM(R13,V13,Z13,AD13)-SUM(S13,W13,AA13,AE13)+AF13</f>
        <v>0.16190092592592592</v>
      </c>
      <c r="J13" s="31">
        <f>I13-$I$12</f>
        <v>1.1531249999999216E-4</v>
      </c>
      <c r="K13" s="31"/>
      <c r="M13" s="69">
        <f>A13</f>
        <v>2</v>
      </c>
      <c r="P13" s="36">
        <v>33</v>
      </c>
      <c r="Q13" s="43">
        <v>115</v>
      </c>
      <c r="R13" s="41">
        <v>7.8287037037037044E-2</v>
      </c>
      <c r="S13" s="35">
        <v>2.3148148148148147E-5</v>
      </c>
      <c r="T13" s="37">
        <v>2</v>
      </c>
      <c r="U13" s="44">
        <v>115</v>
      </c>
      <c r="V13" s="240">
        <v>6.7851851851851719E-3</v>
      </c>
      <c r="W13" s="38"/>
      <c r="X13" s="36">
        <v>1</v>
      </c>
      <c r="Y13" s="43">
        <v>115</v>
      </c>
      <c r="Z13" s="41">
        <v>7.6921296296296293E-2</v>
      </c>
      <c r="AA13" s="35">
        <v>6.9444444444444444E-5</v>
      </c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175</v>
      </c>
      <c r="C14" s="63" t="str">
        <f>VLOOKUP(B14,STARTOVKA,2,0)</f>
        <v>SVK19960415</v>
      </c>
      <c r="D14" s="64" t="str">
        <f>VLOOKUP(B14,STARTOVKA,3,0)</f>
        <v>ZVERKO David</v>
      </c>
      <c r="E14" s="65" t="str">
        <f>VLOOKUP(B14,STARTOVKA,4,0)</f>
        <v xml:space="preserve">SLOVAK CYCLING FEDERATION </v>
      </c>
      <c r="F14" s="66">
        <f>VLOOKUP(B14,STARTOVKA,5,0)</f>
        <v>5674</v>
      </c>
      <c r="G14" s="67" t="str">
        <f>VLOOKUP(B14,STARTOVKA,6,0)</f>
        <v>JUNIOR</v>
      </c>
      <c r="H14" s="67" t="str">
        <f>VLOOKUP(B14,STARTOVKA,7,0)</f>
        <v>SVK</v>
      </c>
      <c r="I14" s="199">
        <f>SUM(R14,V14,Z14,AD14)-SUM(S14,W14,AA14,AE14)+AF14</f>
        <v>0.16243721064814817</v>
      </c>
      <c r="J14" s="31">
        <f>I14-$I$12</f>
        <v>6.5159722222224437E-4</v>
      </c>
      <c r="K14" s="31"/>
      <c r="M14" s="69">
        <f>A14</f>
        <v>3</v>
      </c>
      <c r="P14" s="36">
        <v>16</v>
      </c>
      <c r="Q14" s="43">
        <v>175</v>
      </c>
      <c r="R14" s="41">
        <v>7.8287037037037044E-2</v>
      </c>
      <c r="S14" s="35">
        <v>3.4722222222222222E-5</v>
      </c>
      <c r="T14" s="37">
        <v>8</v>
      </c>
      <c r="U14" s="44">
        <v>175</v>
      </c>
      <c r="V14" s="240">
        <v>6.9626736111111504E-3</v>
      </c>
      <c r="W14" s="38"/>
      <c r="X14" s="36">
        <v>2</v>
      </c>
      <c r="Y14" s="43">
        <v>175</v>
      </c>
      <c r="Z14" s="41">
        <v>7.7268518518518514E-2</v>
      </c>
      <c r="AA14" s="35">
        <v>4.6296296296296294E-5</v>
      </c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45</v>
      </c>
      <c r="C15" s="63" t="str">
        <f>VLOOKUP(B15,STARTOVKA,2,0)</f>
        <v>CZE19960630</v>
      </c>
      <c r="D15" s="64" t="str">
        <f>VLOOKUP(B15,STARTOVKA,3,0)</f>
        <v xml:space="preserve">LEHKÝ Roman </v>
      </c>
      <c r="E15" s="65" t="str">
        <f>VLOOKUP(B15,STARTOVKA,4,0)</f>
        <v>KC KOOPERATIVA SG JABLONEC N.N</v>
      </c>
      <c r="F15" s="66">
        <f>VLOOKUP(B15,STARTOVKA,5,0)</f>
        <v>9859</v>
      </c>
      <c r="G15" s="67" t="str">
        <f>VLOOKUP(B15,STARTOVKA,6,0)</f>
        <v>JUNIOR</v>
      </c>
      <c r="H15" s="67" t="str">
        <f>VLOOKUP(B15,STARTOVKA,7,0)</f>
        <v>KOO</v>
      </c>
      <c r="I15" s="199">
        <f>SUM(R15,V15,Z15,AD15)-SUM(S15,W15,AA15,AE15)+AF15</f>
        <v>0.16248211805555551</v>
      </c>
      <c r="J15" s="31">
        <f>I15-$I$12</f>
        <v>6.9650462962958515E-4</v>
      </c>
      <c r="K15" s="31"/>
      <c r="M15" s="69">
        <f>A15</f>
        <v>4</v>
      </c>
      <c r="P15" s="36">
        <v>48</v>
      </c>
      <c r="Q15" s="43">
        <v>45</v>
      </c>
      <c r="R15" s="41">
        <v>7.8287037037037044E-2</v>
      </c>
      <c r="S15" s="35">
        <v>0</v>
      </c>
      <c r="T15" s="37">
        <v>5</v>
      </c>
      <c r="U15" s="44">
        <v>45</v>
      </c>
      <c r="V15" s="240">
        <v>6.9265624999999692E-3</v>
      </c>
      <c r="W15" s="38"/>
      <c r="X15" s="36">
        <v>4</v>
      </c>
      <c r="Y15" s="43">
        <v>45</v>
      </c>
      <c r="Z15" s="41">
        <v>7.7268518518518514E-2</v>
      </c>
      <c r="AA15" s="35">
        <v>0</v>
      </c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146</v>
      </c>
      <c r="C16" s="63" t="str">
        <f>VLOOKUP(B16,STARTOVKA,2,0)</f>
        <v>CZE19980130</v>
      </c>
      <c r="D16" s="64" t="str">
        <f>VLOOKUP(B16,STARTOVKA,3,0)</f>
        <v xml:space="preserve">OTRUBA Jakub </v>
      </c>
      <c r="E16" s="65" t="str">
        <f>VLOOKUP(B16,STARTOVKA,4,0)</f>
        <v xml:space="preserve">MAPEI CYKLO KAŇKOVSKÝ </v>
      </c>
      <c r="F16" s="66">
        <f>VLOOKUP(B16,STARTOVKA,5,0)</f>
        <v>19627</v>
      </c>
      <c r="G16" s="67" t="str">
        <f>VLOOKUP(B16,STARTOVKA,6,0)</f>
        <v>CADET</v>
      </c>
      <c r="H16" s="67" t="str">
        <f>VLOOKUP(B16,STARTOVKA,7,0)</f>
        <v>MAP</v>
      </c>
      <c r="I16" s="199">
        <f>SUM(R16,V16,Z16,AD16)-SUM(S16,W16,AA16,AE16)+AF16</f>
        <v>0.16249543981481487</v>
      </c>
      <c r="J16" s="31">
        <f>I16-$I$12</f>
        <v>7.0982638888894556E-4</v>
      </c>
      <c r="K16" s="31"/>
      <c r="M16" s="69">
        <f>A16</f>
        <v>5</v>
      </c>
      <c r="P16" s="36">
        <v>53</v>
      </c>
      <c r="Q16" s="43">
        <v>146</v>
      </c>
      <c r="R16" s="41">
        <v>7.8287037037037044E-2</v>
      </c>
      <c r="S16" s="35">
        <v>0</v>
      </c>
      <c r="T16" s="37">
        <v>7</v>
      </c>
      <c r="U16" s="44">
        <v>146</v>
      </c>
      <c r="V16" s="240">
        <v>6.9398842592593088E-3</v>
      </c>
      <c r="W16" s="38"/>
      <c r="X16" s="36">
        <v>7</v>
      </c>
      <c r="Y16" s="43">
        <v>146</v>
      </c>
      <c r="Z16" s="41">
        <v>7.7268518518518514E-2</v>
      </c>
      <c r="AA16" s="35">
        <v>0</v>
      </c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52</v>
      </c>
      <c r="C17" s="63" t="str">
        <f>VLOOKUP(B17,STARTOVKA,2,0)</f>
        <v>POL19961008</v>
      </c>
      <c r="D17" s="64" t="str">
        <f>VLOOKUP(B17,STARTOVKA,3,0)</f>
        <v>ZLOTOWICZ Patryk</v>
      </c>
      <c r="E17" s="65" t="str">
        <f>VLOOKUP(B17,STARTOVKA,4,0)</f>
        <v>KLUCZBORK</v>
      </c>
      <c r="F17" s="66" t="str">
        <f>VLOOKUP(B17,STARTOVKA,5,0)</f>
        <v>OPO-016</v>
      </c>
      <c r="G17" s="67" t="str">
        <f>VLOOKUP(B17,STARTOVKA,6,0)</f>
        <v>JUNIOR</v>
      </c>
      <c r="H17" s="67" t="str">
        <f>VLOOKUP(B17,STARTOVKA,7,0)</f>
        <v>GLI</v>
      </c>
      <c r="I17" s="199">
        <f>SUM(R17,V17,Z17,AD17)-SUM(S17,W17,AA17,AE17)+AF17</f>
        <v>0.16262620370370373</v>
      </c>
      <c r="J17" s="31">
        <f>I17-$I$12</f>
        <v>8.4059027777780293E-4</v>
      </c>
      <c r="K17" s="31"/>
      <c r="M17" s="69">
        <f>A17</f>
        <v>6</v>
      </c>
      <c r="P17" s="36">
        <v>70</v>
      </c>
      <c r="Q17" s="43">
        <v>52</v>
      </c>
      <c r="R17" s="41">
        <v>7.8287037037037044E-2</v>
      </c>
      <c r="S17" s="35">
        <v>0</v>
      </c>
      <c r="T17" s="37">
        <v>16</v>
      </c>
      <c r="U17" s="44">
        <v>52</v>
      </c>
      <c r="V17" s="240">
        <v>7.07064814814818E-3</v>
      </c>
      <c r="W17" s="38"/>
      <c r="X17" s="36">
        <v>12</v>
      </c>
      <c r="Y17" s="43">
        <v>52</v>
      </c>
      <c r="Z17" s="41">
        <v>7.7268518518518514E-2</v>
      </c>
      <c r="AA17" s="35">
        <v>0</v>
      </c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105</v>
      </c>
      <c r="C18" s="63" t="str">
        <f>VLOOKUP(B18,STARTOVKA,2,0)</f>
        <v>CZE19960511</v>
      </c>
      <c r="D18" s="64" t="str">
        <f>VLOOKUP(B18,STARTOVKA,3,0)</f>
        <v xml:space="preserve">RAJCHART Jan </v>
      </c>
      <c r="E18" s="65" t="str">
        <f>VLOOKUP(B18,STARTOVKA,4,0)</f>
        <v xml:space="preserve">NUTREND SPECIALIZED RACING </v>
      </c>
      <c r="F18" s="66">
        <f>VLOOKUP(B18,STARTOVKA,5,0)</f>
        <v>7437</v>
      </c>
      <c r="G18" s="67" t="str">
        <f>VLOOKUP(B18,STARTOVKA,6,0)</f>
        <v>JUNIOR</v>
      </c>
      <c r="H18" s="67" t="str">
        <f>VLOOKUP(B18,STARTOVKA,7,0)</f>
        <v>LOU</v>
      </c>
      <c r="I18" s="199">
        <f>SUM(R18,V18,Z18,AD18)-SUM(S18,W18,AA18,AE18)+AF18</f>
        <v>0.16271635416666666</v>
      </c>
      <c r="J18" s="31">
        <f>I18-$I$12</f>
        <v>9.3074074074073199E-4</v>
      </c>
      <c r="K18" s="31"/>
      <c r="M18" s="69">
        <f>A18</f>
        <v>7</v>
      </c>
      <c r="P18" s="36">
        <v>71</v>
      </c>
      <c r="Q18" s="43">
        <v>105</v>
      </c>
      <c r="R18" s="41">
        <v>7.8287037037037044E-2</v>
      </c>
      <c r="S18" s="35">
        <v>0</v>
      </c>
      <c r="T18" s="37">
        <v>23</v>
      </c>
      <c r="U18" s="44">
        <v>105</v>
      </c>
      <c r="V18" s="240">
        <v>7.1607986111111022E-3</v>
      </c>
      <c r="W18" s="38"/>
      <c r="X18" s="36">
        <v>9</v>
      </c>
      <c r="Y18" s="43">
        <v>105</v>
      </c>
      <c r="Z18" s="41">
        <v>7.7268518518518514E-2</v>
      </c>
      <c r="AA18" s="35">
        <v>0</v>
      </c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176</v>
      </c>
      <c r="C19" s="63" t="str">
        <f>VLOOKUP(B19,STARTOVKA,2,0)</f>
        <v>SVK19960130</v>
      </c>
      <c r="D19" s="64" t="str">
        <f>VLOOKUP(B19,STARTOVKA,3,0)</f>
        <v>BELLAN Juraj</v>
      </c>
      <c r="E19" s="65" t="str">
        <f>VLOOKUP(B19,STARTOVKA,4,0)</f>
        <v xml:space="preserve">SLOVAK CYCLING FEDERATION </v>
      </c>
      <c r="F19" s="66">
        <f>VLOOKUP(B19,STARTOVKA,5,0)</f>
        <v>5681</v>
      </c>
      <c r="G19" s="67" t="str">
        <f>VLOOKUP(B19,STARTOVKA,6,0)</f>
        <v>JUNIOR</v>
      </c>
      <c r="H19" s="67" t="str">
        <f>VLOOKUP(B19,STARTOVKA,7,0)</f>
        <v>SVK</v>
      </c>
      <c r="I19" s="199">
        <f>SUM(R19,V19,Z19,AD19)-SUM(S19,W19,AA19,AE19)+AF19</f>
        <v>0.16272229166666669</v>
      </c>
      <c r="J19" s="31">
        <f>I19-$I$12</f>
        <v>9.3667824074075701E-4</v>
      </c>
      <c r="K19" s="31"/>
      <c r="M19" s="69">
        <f>A19</f>
        <v>8</v>
      </c>
      <c r="P19" s="36">
        <v>68</v>
      </c>
      <c r="Q19" s="43">
        <v>176</v>
      </c>
      <c r="R19" s="41">
        <v>7.8287037037037044E-2</v>
      </c>
      <c r="S19" s="35">
        <v>0</v>
      </c>
      <c r="T19" s="37">
        <v>24</v>
      </c>
      <c r="U19" s="44">
        <v>176</v>
      </c>
      <c r="V19" s="240">
        <v>7.1667361111111341E-3</v>
      </c>
      <c r="W19" s="38"/>
      <c r="X19" s="36">
        <v>11</v>
      </c>
      <c r="Y19" s="43">
        <v>176</v>
      </c>
      <c r="Z19" s="41">
        <v>7.7268518518518514E-2</v>
      </c>
      <c r="AA19" s="35">
        <v>0</v>
      </c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133</v>
      </c>
      <c r="C20" s="63" t="str">
        <f>VLOOKUP(B20,STARTOVKA,2,0)</f>
        <v>CZE19960924</v>
      </c>
      <c r="D20" s="64" t="str">
        <f>VLOOKUP(B20,STARTOVKA,3,0)</f>
        <v>CAMRDA Pavel</v>
      </c>
      <c r="E20" s="65" t="str">
        <f>VLOOKUP(B20,STARTOVKA,4,0)</f>
        <v>RC ARBÖ WELS GOURMETFEIN</v>
      </c>
      <c r="F20" s="66">
        <f>VLOOKUP(B20,STARTOVKA,5,0)</f>
        <v>8509</v>
      </c>
      <c r="G20" s="67" t="str">
        <f>VLOOKUP(B20,STARTOVKA,6,0)</f>
        <v>JUNIOR</v>
      </c>
      <c r="H20" s="67" t="str">
        <f>VLOOKUP(B20,STARTOVKA,7,0)</f>
        <v>RCA</v>
      </c>
      <c r="I20" s="199">
        <f>SUM(R20,V20,Z20,AD20)-SUM(S20,W20,AA20,AE20)+AF20</f>
        <v>0.16273460648148147</v>
      </c>
      <c r="J20" s="31">
        <f>I20-$I$12</f>
        <v>9.4899305555554148E-4</v>
      </c>
      <c r="K20" s="31"/>
      <c r="M20" s="69">
        <f>A20</f>
        <v>9</v>
      </c>
      <c r="P20" s="36">
        <v>69</v>
      </c>
      <c r="Q20" s="43">
        <v>133</v>
      </c>
      <c r="R20" s="41">
        <v>7.8287037037037044E-2</v>
      </c>
      <c r="S20" s="35">
        <v>0</v>
      </c>
      <c r="T20" s="37">
        <v>25</v>
      </c>
      <c r="U20" s="44">
        <v>133</v>
      </c>
      <c r="V20" s="240">
        <v>7.1790509259259047E-3</v>
      </c>
      <c r="W20" s="38"/>
      <c r="X20" s="36">
        <v>10</v>
      </c>
      <c r="Y20" s="43">
        <v>133</v>
      </c>
      <c r="Z20" s="41">
        <v>7.7268518518518514E-2</v>
      </c>
      <c r="AA20" s="35">
        <v>0</v>
      </c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151</v>
      </c>
      <c r="C21" s="63" t="str">
        <f>VLOOKUP(B21,STARTOVKA,2,0)</f>
        <v>CZE19960501</v>
      </c>
      <c r="D21" s="64" t="str">
        <f>VLOOKUP(B21,STARTOVKA,3,0)</f>
        <v>TOMAN Vojtěch</v>
      </c>
      <c r="E21" s="65" t="str">
        <f>VLOOKUP(B21,STARTOVKA,4,0)</f>
        <v>STEVENS ZNOJMO</v>
      </c>
      <c r="F21" s="66">
        <f>VLOOKUP(B21,STARTOVKA,5,0)</f>
        <v>9096</v>
      </c>
      <c r="G21" s="67" t="str">
        <f>VLOOKUP(B21,STARTOVKA,6,0)</f>
        <v>JUNIOR</v>
      </c>
      <c r="H21" s="67" t="str">
        <f>VLOOKUP(B21,STARTOVKA,7,0)</f>
        <v>SKC</v>
      </c>
      <c r="I21" s="199">
        <f>SUM(R21,V21,Z21,AD21)-SUM(S21,W21,AA21,AE21)+AF21</f>
        <v>0.16296641203703699</v>
      </c>
      <c r="J21" s="31">
        <f>I21-$I$12</f>
        <v>1.1807986111110613E-3</v>
      </c>
      <c r="K21" s="31"/>
      <c r="M21" s="69">
        <f>A21</f>
        <v>10</v>
      </c>
      <c r="P21" s="36">
        <v>6</v>
      </c>
      <c r="Q21" s="43">
        <v>151</v>
      </c>
      <c r="R21" s="41">
        <v>7.8287037037037044E-2</v>
      </c>
      <c r="S21" s="35">
        <v>1.1574074074074073E-5</v>
      </c>
      <c r="T21" s="37">
        <v>45</v>
      </c>
      <c r="U21" s="44">
        <v>151</v>
      </c>
      <c r="V21" s="240">
        <v>7.4224305555554981E-3</v>
      </c>
      <c r="W21" s="38"/>
      <c r="X21" s="36">
        <v>5</v>
      </c>
      <c r="Y21" s="43">
        <v>151</v>
      </c>
      <c r="Z21" s="41">
        <v>7.7268518518518514E-2</v>
      </c>
      <c r="AA21" s="35">
        <v>0</v>
      </c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41</v>
      </c>
      <c r="C22" s="63" t="str">
        <f>VLOOKUP(B22,STARTOVKA,2,0)</f>
        <v>CZE19960310</v>
      </c>
      <c r="D22" s="64" t="str">
        <f>VLOOKUP(B22,STARTOVKA,3,0)</f>
        <v xml:space="preserve">ŠULC Jakub </v>
      </c>
      <c r="E22" s="65" t="str">
        <f>VLOOKUP(B22,STARTOVKA,4,0)</f>
        <v xml:space="preserve">KOLA-BBM.CZ </v>
      </c>
      <c r="F22" s="66">
        <f>VLOOKUP(B22,STARTOVKA,5,0)</f>
        <v>3358</v>
      </c>
      <c r="G22" s="67" t="str">
        <f>VLOOKUP(B22,STARTOVKA,6,0)</f>
        <v>JUNIOR</v>
      </c>
      <c r="H22" s="67" t="str">
        <f>VLOOKUP(B22,STARTOVKA,7,0)</f>
        <v>KOO</v>
      </c>
      <c r="I22" s="199">
        <f>SUM(R22,V22,Z22,AD22)-SUM(S22,W22,AA22,AE22)+AF22</f>
        <v>0.16300634259259256</v>
      </c>
      <c r="J22" s="31">
        <f>I22-$I$12</f>
        <v>1.2207291666666287E-3</v>
      </c>
      <c r="K22" s="31"/>
      <c r="M22" s="69">
        <f>A22</f>
        <v>11</v>
      </c>
      <c r="P22" s="36">
        <v>94</v>
      </c>
      <c r="Q22" s="43">
        <v>41</v>
      </c>
      <c r="R22" s="41">
        <v>7.8287037037037044E-2</v>
      </c>
      <c r="S22" s="35">
        <v>0</v>
      </c>
      <c r="T22" s="37">
        <v>50</v>
      </c>
      <c r="U22" s="44">
        <v>41</v>
      </c>
      <c r="V22" s="240">
        <v>7.4507870370370023E-3</v>
      </c>
      <c r="W22" s="38"/>
      <c r="X22" s="36">
        <v>14</v>
      </c>
      <c r="Y22" s="43">
        <v>41</v>
      </c>
      <c r="Z22" s="41">
        <v>7.7268518518518514E-2</v>
      </c>
      <c r="AA22" s="35">
        <v>0</v>
      </c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82</v>
      </c>
      <c r="C23" s="63" t="str">
        <f>VLOOKUP(B23,STARTOVKA,2,0)</f>
        <v>CZE19960127</v>
      </c>
      <c r="D23" s="64" t="str">
        <f>VLOOKUP(B23,STARTOVKA,3,0)</f>
        <v xml:space="preserve">ŠIPOŠ Marek </v>
      </c>
      <c r="E23" s="65" t="str">
        <f>VLOOKUP(B23,STARTOVKA,4,0)</f>
        <v xml:space="preserve">TJ KOVO PRAHA </v>
      </c>
      <c r="F23" s="66">
        <f>VLOOKUP(B23,STARTOVKA,5,0)</f>
        <v>17984</v>
      </c>
      <c r="G23" s="67" t="str">
        <f>VLOOKUP(B23,STARTOVKA,6,0)</f>
        <v>JUNIOR</v>
      </c>
      <c r="H23" s="67" t="str">
        <f>VLOOKUP(B23,STARTOVKA,7,0)</f>
        <v>KOV</v>
      </c>
      <c r="I23" s="199">
        <f>SUM(R23,V23,Z23,AD23)-SUM(S23,W23,AA23,AE23)+AF23</f>
        <v>0.16307812500000005</v>
      </c>
      <c r="J23" s="31">
        <f>I23-$I$12</f>
        <v>1.2925115740741178E-3</v>
      </c>
      <c r="K23" s="31"/>
      <c r="M23" s="69">
        <f>A23</f>
        <v>12</v>
      </c>
      <c r="P23" s="36">
        <v>81</v>
      </c>
      <c r="Q23" s="43">
        <v>82</v>
      </c>
      <c r="R23" s="41">
        <v>7.8287037037037044E-2</v>
      </c>
      <c r="S23" s="35">
        <v>0</v>
      </c>
      <c r="T23" s="37">
        <v>57</v>
      </c>
      <c r="U23" s="44">
        <v>82</v>
      </c>
      <c r="V23" s="240">
        <v>7.5225694444444879E-3</v>
      </c>
      <c r="W23" s="38"/>
      <c r="X23" s="36">
        <v>6</v>
      </c>
      <c r="Y23" s="43">
        <v>82</v>
      </c>
      <c r="Z23" s="41">
        <v>7.7268518518518514E-2</v>
      </c>
      <c r="AA23" s="35">
        <v>0</v>
      </c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101</v>
      </c>
      <c r="C24" s="63" t="str">
        <f>VLOOKUP(B24,STARTOVKA,2,0)</f>
        <v>CZE19970829</v>
      </c>
      <c r="D24" s="64" t="str">
        <f>VLOOKUP(B24,STARTOVKA,3,0)</f>
        <v xml:space="preserve">BAŘTIPÁN Josef </v>
      </c>
      <c r="E24" s="65" t="str">
        <f>VLOOKUP(B24,STARTOVKA,4,0)</f>
        <v xml:space="preserve">TJ STADION LOUNY </v>
      </c>
      <c r="F24" s="66">
        <f>VLOOKUP(B24,STARTOVKA,5,0)</f>
        <v>9818</v>
      </c>
      <c r="G24" s="67" t="str">
        <f>VLOOKUP(B24,STARTOVKA,6,0)</f>
        <v>JUNIOR*</v>
      </c>
      <c r="H24" s="67" t="str">
        <f>VLOOKUP(B24,STARTOVKA,7,0)</f>
        <v>LOU</v>
      </c>
      <c r="I24" s="199">
        <f>SUM(R24,V24,Z24,AD24)-SUM(S24,W24,AA24,AE24)+AF24</f>
        <v>0.16323347222222223</v>
      </c>
      <c r="J24" s="31">
        <f>I24-$I$12</f>
        <v>1.447858796296303E-3</v>
      </c>
      <c r="K24" s="31"/>
      <c r="M24" s="69">
        <f>A24</f>
        <v>13</v>
      </c>
      <c r="P24" s="36">
        <v>20</v>
      </c>
      <c r="Q24" s="43">
        <v>101</v>
      </c>
      <c r="R24" s="41">
        <v>7.8287037037037044E-2</v>
      </c>
      <c r="S24" s="35">
        <v>0</v>
      </c>
      <c r="T24" s="37">
        <v>71</v>
      </c>
      <c r="U24" s="44">
        <v>101</v>
      </c>
      <c r="V24" s="240">
        <v>7.7010648148148342E-3</v>
      </c>
      <c r="W24" s="38"/>
      <c r="X24" s="36">
        <v>3</v>
      </c>
      <c r="Y24" s="43">
        <v>101</v>
      </c>
      <c r="Z24" s="41">
        <v>7.7268518518518514E-2</v>
      </c>
      <c r="AA24" s="35">
        <v>2.3148148148148147E-5</v>
      </c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172</v>
      </c>
      <c r="C25" s="63" t="str">
        <f>VLOOKUP(B25,STARTOVKA,2,0)</f>
        <v>SVK19971030</v>
      </c>
      <c r="D25" s="64" t="str">
        <f>VLOOKUP(B25,STARTOVKA,3,0)</f>
        <v>ZIMANY Kristian</v>
      </c>
      <c r="E25" s="65" t="str">
        <f>VLOOKUP(B25,STARTOVKA,4,0)</f>
        <v xml:space="preserve">SLOVAK CYCLING FEDERATION </v>
      </c>
      <c r="F25" s="66">
        <f>VLOOKUP(B25,STARTOVKA,5,0)</f>
        <v>5765</v>
      </c>
      <c r="G25" s="67" t="str">
        <f>VLOOKUP(B25,STARTOVKA,6,0)</f>
        <v>JUNIOR*</v>
      </c>
      <c r="H25" s="67" t="str">
        <f>VLOOKUP(B25,STARTOVKA,7,0)</f>
        <v>SVK</v>
      </c>
      <c r="I25" s="199">
        <f>SUM(R25,V25,Z25,AD25)-SUM(S25,W25,AA25,AE25)+AF25</f>
        <v>0.16334150462962968</v>
      </c>
      <c r="J25" s="31">
        <f>I25-$I$12</f>
        <v>1.555891203703752E-3</v>
      </c>
      <c r="K25" s="31"/>
      <c r="M25" s="69">
        <f>A25</f>
        <v>14</v>
      </c>
      <c r="P25" s="36">
        <v>90</v>
      </c>
      <c r="Q25" s="43">
        <v>172</v>
      </c>
      <c r="R25" s="41">
        <v>7.8287037037037044E-2</v>
      </c>
      <c r="S25" s="35">
        <v>0</v>
      </c>
      <c r="T25" s="37">
        <v>82</v>
      </c>
      <c r="U25" s="44">
        <v>172</v>
      </c>
      <c r="V25" s="240">
        <v>7.7859490740741222E-3</v>
      </c>
      <c r="W25" s="38"/>
      <c r="X25" s="36">
        <v>13</v>
      </c>
      <c r="Y25" s="43">
        <v>172</v>
      </c>
      <c r="Z25" s="41">
        <v>7.7268518518518514E-2</v>
      </c>
      <c r="AA25" s="35">
        <v>0</v>
      </c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2</v>
      </c>
      <c r="C26" s="63" t="str">
        <f>VLOOKUP(B26,STARTOVKA,2,0)</f>
        <v>GER19960829</v>
      </c>
      <c r="D26" s="64" t="str">
        <f>VLOOKUP(B26,STARTOVKA,3,0)</f>
        <v>SCHUCHMANN Franz-Leon</v>
      </c>
      <c r="E26" s="65" t="str">
        <f>VLOOKUP(B26,STARTOVKA,4,0)</f>
        <v>RSV SONNEBERG</v>
      </c>
      <c r="F26" s="66" t="str">
        <f>VLOOKUP(B26,STARTOVKA,5,0)</f>
        <v>THÜ173330</v>
      </c>
      <c r="G26" s="67" t="str">
        <f>VLOOKUP(B26,STARTOVKA,6,0)</f>
        <v>JUNIOR</v>
      </c>
      <c r="H26" s="67" t="str">
        <f>VLOOKUP(B26,STARTOVKA,7,0)</f>
        <v>TUR</v>
      </c>
      <c r="I26" s="199">
        <f>SUM(R26,V26,Z26,AD26)-SUM(S26,W26,AA26,AE26)+AF26</f>
        <v>0.16346297453703701</v>
      </c>
      <c r="J26" s="31">
        <f>I26-$I$12</f>
        <v>1.6773611111110809E-3</v>
      </c>
      <c r="K26" s="31"/>
      <c r="M26" s="69">
        <f>A26</f>
        <v>15</v>
      </c>
      <c r="P26" s="36">
        <v>2</v>
      </c>
      <c r="Q26" s="43">
        <v>2</v>
      </c>
      <c r="R26" s="41">
        <v>7.8067129629629625E-2</v>
      </c>
      <c r="S26" s="35">
        <v>6.9444444444444444E-5</v>
      </c>
      <c r="T26" s="37">
        <v>14</v>
      </c>
      <c r="U26" s="44">
        <v>2</v>
      </c>
      <c r="V26" s="240">
        <v>7.0277893518518181E-3</v>
      </c>
      <c r="W26" s="38"/>
      <c r="X26" s="36">
        <v>25</v>
      </c>
      <c r="Y26" s="43">
        <v>2</v>
      </c>
      <c r="Z26" s="41">
        <v>7.8437500000000007E-2</v>
      </c>
      <c r="AA26" s="35">
        <v>0</v>
      </c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166</v>
      </c>
      <c r="C27" s="63" t="str">
        <f>VLOOKUP(B27,STARTOVKA,2,0)</f>
        <v>RUS19960101</v>
      </c>
      <c r="D27" s="64" t="str">
        <f>VLOOKUP(B27,STARTOVKA,3,0)</f>
        <v xml:space="preserve">BEZDENEZHNYKH Vadim </v>
      </c>
      <c r="E27" s="65" t="str">
        <f>VLOOKUP(B27,STARTOVKA,4,0)</f>
        <v>RUSSIAN CYCLING FEDERATION</v>
      </c>
      <c r="F27" s="66" t="str">
        <f>VLOOKUP(B27,STARTOVKA,5,0)</f>
        <v>B0271</v>
      </c>
      <c r="G27" s="67" t="str">
        <f>VLOOKUP(B27,STARTOVKA,6,0)</f>
        <v>JUNIOR</v>
      </c>
      <c r="H27" s="67" t="str">
        <f>VLOOKUP(B27,STARTOVKA,7,0)</f>
        <v>RUS</v>
      </c>
      <c r="I27" s="199">
        <f>SUM(R27,V27,Z27,AD27)-SUM(S27,W27,AA27,AE27)+AF27</f>
        <v>0.16370288194444443</v>
      </c>
      <c r="J27" s="31">
        <f>I27-$I$12</f>
        <v>1.9172685185185057E-3</v>
      </c>
      <c r="K27" s="31"/>
      <c r="M27" s="69">
        <f>A27</f>
        <v>16</v>
      </c>
      <c r="P27" s="36">
        <v>26</v>
      </c>
      <c r="Q27" s="43">
        <v>166</v>
      </c>
      <c r="R27" s="41">
        <v>7.8287037037037044E-2</v>
      </c>
      <c r="S27" s="35">
        <v>0</v>
      </c>
      <c r="T27" s="37">
        <v>10</v>
      </c>
      <c r="U27" s="44">
        <v>166</v>
      </c>
      <c r="V27" s="240">
        <v>6.9783449074073689E-3</v>
      </c>
      <c r="W27" s="38"/>
      <c r="X27" s="36">
        <v>18</v>
      </c>
      <c r="Y27" s="43">
        <v>166</v>
      </c>
      <c r="Z27" s="41">
        <v>7.8437500000000007E-2</v>
      </c>
      <c r="AA27" s="35">
        <v>0</v>
      </c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164</v>
      </c>
      <c r="C28" s="63" t="str">
        <f>VLOOKUP(B28,STARTOVKA,2,0)</f>
        <v>RUS19970224</v>
      </c>
      <c r="D28" s="64" t="str">
        <f>VLOOKUP(B28,STARTOVKA,3,0)</f>
        <v>RIKUNOV Petr</v>
      </c>
      <c r="E28" s="65" t="str">
        <f>VLOOKUP(B28,STARTOVKA,4,0)</f>
        <v>RUSSIAN CYCLING FEDERATION</v>
      </c>
      <c r="F28" s="66" t="str">
        <f>VLOOKUP(B28,STARTOVKA,5,0)</f>
        <v>B0273</v>
      </c>
      <c r="G28" s="67" t="str">
        <f>VLOOKUP(B28,STARTOVKA,6,0)</f>
        <v>JUNIOR*</v>
      </c>
      <c r="H28" s="67" t="str">
        <f>VLOOKUP(B28,STARTOVKA,7,0)</f>
        <v>RUS</v>
      </c>
      <c r="I28" s="199">
        <f>SUM(R28,V28,Z28,AD28)-SUM(S28,W28,AA28,AE28)+AF28</f>
        <v>0.16372001157407406</v>
      </c>
      <c r="J28" s="31">
        <f>I28-$I$12</f>
        <v>1.9343981481481365E-3</v>
      </c>
      <c r="K28" s="31"/>
      <c r="M28" s="69">
        <f>A28</f>
        <v>17</v>
      </c>
      <c r="P28" s="36">
        <v>63</v>
      </c>
      <c r="Q28" s="43">
        <v>164</v>
      </c>
      <c r="R28" s="41">
        <v>7.8287037037037044E-2</v>
      </c>
      <c r="S28" s="35">
        <v>0</v>
      </c>
      <c r="T28" s="37">
        <v>11</v>
      </c>
      <c r="U28" s="44">
        <v>164</v>
      </c>
      <c r="V28" s="240">
        <v>6.9954745370370344E-3</v>
      </c>
      <c r="W28" s="38"/>
      <c r="X28" s="36">
        <v>23</v>
      </c>
      <c r="Y28" s="43">
        <v>164</v>
      </c>
      <c r="Z28" s="41">
        <v>7.8437500000000007E-2</v>
      </c>
      <c r="AA28" s="35">
        <v>0</v>
      </c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21</v>
      </c>
      <c r="C29" s="63" t="str">
        <f>VLOOKUP(B29,STARTOVKA,2,0)</f>
        <v>GER19960322</v>
      </c>
      <c r="D29" s="64" t="str">
        <f>VLOOKUP(B29,STARTOVKA,3,0)</f>
        <v>DICKEL Jorge</v>
      </c>
      <c r="E29" s="65" t="str">
        <f>VLOOKUP(B29,STARTOVKA,4,0)</f>
        <v>RG BERLIN</v>
      </c>
      <c r="F29" s="66" t="str">
        <f>VLOOKUP(B29,STARTOVKA,5,0)</f>
        <v>03.15928.12</v>
      </c>
      <c r="G29" s="67" t="str">
        <f>VLOOKUP(B29,STARTOVKA,6,0)</f>
        <v>JUNIOR</v>
      </c>
      <c r="H29" s="67" t="str">
        <f>VLOOKUP(B29,STARTOVKA,7,0)</f>
        <v>RGB</v>
      </c>
      <c r="I29" s="199">
        <f>SUM(R29,V29,Z29,AD29)-SUM(S29,W29,AA29,AE29)+AF29</f>
        <v>0.16372414351851855</v>
      </c>
      <c r="J29" s="31">
        <f>I29-$I$12</f>
        <v>1.9385300925926219E-3</v>
      </c>
      <c r="K29" s="31"/>
      <c r="M29" s="69">
        <f>A29</f>
        <v>18</v>
      </c>
      <c r="P29" s="36">
        <v>77</v>
      </c>
      <c r="Q29" s="43">
        <v>21</v>
      </c>
      <c r="R29" s="41">
        <v>7.8287037037037044E-2</v>
      </c>
      <c r="S29" s="35">
        <v>0</v>
      </c>
      <c r="T29" s="37">
        <v>12</v>
      </c>
      <c r="U29" s="44">
        <v>21</v>
      </c>
      <c r="V29" s="240">
        <v>6.9996064814815025E-3</v>
      </c>
      <c r="W29" s="38"/>
      <c r="X29" s="36">
        <v>28</v>
      </c>
      <c r="Y29" s="43">
        <v>21</v>
      </c>
      <c r="Z29" s="41">
        <v>7.8437500000000007E-2</v>
      </c>
      <c r="AA29" s="35">
        <v>0</v>
      </c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4</v>
      </c>
      <c r="C30" s="63" t="str">
        <f>VLOOKUP(B30,STARTOVKA,2,0)</f>
        <v>GER19960212</v>
      </c>
      <c r="D30" s="64" t="str">
        <f>VLOOKUP(B30,STARTOVKA,3,0)</f>
        <v>SCHUBERT Erik</v>
      </c>
      <c r="E30" s="65" t="str">
        <f>VLOOKUP(B30,STARTOVKA,4,0)</f>
        <v>RV ELXLEBEN</v>
      </c>
      <c r="F30" s="66" t="str">
        <f>VLOOKUP(B30,STARTOVKA,5,0)</f>
        <v>THÜ170276</v>
      </c>
      <c r="G30" s="67" t="str">
        <f>VLOOKUP(B30,STARTOVKA,6,0)</f>
        <v>JUNIOR</v>
      </c>
      <c r="H30" s="67" t="str">
        <f>VLOOKUP(B30,STARTOVKA,7,0)</f>
        <v>TUR</v>
      </c>
      <c r="I30" s="199">
        <f>SUM(R30,V30,Z30,AD30)-SUM(S30,W30,AA30,AE30)+AF30</f>
        <v>0.1637424421296296</v>
      </c>
      <c r="J30" s="31">
        <f>I30-$I$12</f>
        <v>1.9568287037036725E-3</v>
      </c>
      <c r="K30" s="31"/>
      <c r="M30" s="69">
        <f>A30</f>
        <v>19</v>
      </c>
      <c r="P30" s="36">
        <v>65</v>
      </c>
      <c r="Q30" s="43">
        <v>4</v>
      </c>
      <c r="R30" s="41">
        <v>7.8287037037037044E-2</v>
      </c>
      <c r="S30" s="35">
        <v>0</v>
      </c>
      <c r="T30" s="37">
        <v>13</v>
      </c>
      <c r="U30" s="44">
        <v>4</v>
      </c>
      <c r="V30" s="240">
        <v>7.0179050925925496E-3</v>
      </c>
      <c r="W30" s="38"/>
      <c r="X30" s="36">
        <v>21</v>
      </c>
      <c r="Y30" s="43">
        <v>4</v>
      </c>
      <c r="Z30" s="41">
        <v>7.8437500000000007E-2</v>
      </c>
      <c r="AA30" s="35">
        <v>0</v>
      </c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124</v>
      </c>
      <c r="C31" s="63" t="str">
        <f>VLOOKUP(B31,STARTOVKA,2,0)</f>
        <v>CZE19970613</v>
      </c>
      <c r="D31" s="64" t="str">
        <f>VLOOKUP(B31,STARTOVKA,3,0)</f>
        <v xml:space="preserve">ŠÁNA Jiří </v>
      </c>
      <c r="E31" s="65" t="str">
        <f>VLOOKUP(B31,STARTOVKA,4,0)</f>
        <v xml:space="preserve">SKC TUFO PROSTĚJOV </v>
      </c>
      <c r="F31" s="66">
        <f>VLOOKUP(B31,STARTOVKA,5,0)</f>
        <v>8743</v>
      </c>
      <c r="G31" s="67" t="str">
        <f>VLOOKUP(B31,STARTOVKA,6,0)</f>
        <v>JUNIOR*</v>
      </c>
      <c r="H31" s="67" t="str">
        <f>VLOOKUP(B31,STARTOVKA,7,0)</f>
        <v>SKC</v>
      </c>
      <c r="I31" s="199">
        <f>SUM(R31,V31,Z31,AD31)-SUM(S31,W31,AA31,AE31)+AF31</f>
        <v>0.16383075231481481</v>
      </c>
      <c r="J31" s="31">
        <f>I31-$I$12</f>
        <v>2.0451388888888811E-3</v>
      </c>
      <c r="K31" s="31"/>
      <c r="M31" s="69">
        <f>A31</f>
        <v>20</v>
      </c>
      <c r="P31" s="36">
        <v>21</v>
      </c>
      <c r="Q31" s="43">
        <v>124</v>
      </c>
      <c r="R31" s="41">
        <v>7.8287037037037044E-2</v>
      </c>
      <c r="S31" s="35">
        <v>0</v>
      </c>
      <c r="T31" s="37">
        <v>19</v>
      </c>
      <c r="U31" s="44">
        <v>124</v>
      </c>
      <c r="V31" s="240">
        <v>7.1062152777777582E-3</v>
      </c>
      <c r="W31" s="38"/>
      <c r="X31" s="36">
        <v>37</v>
      </c>
      <c r="Y31" s="43">
        <v>124</v>
      </c>
      <c r="Z31" s="41">
        <v>7.8437500000000007E-2</v>
      </c>
      <c r="AA31" s="35">
        <v>0</v>
      </c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163</v>
      </c>
      <c r="C32" s="63" t="str">
        <f>VLOOKUP(B32,STARTOVKA,2,0)</f>
        <v>RUS19970527</v>
      </c>
      <c r="D32" s="64" t="str">
        <f>VLOOKUP(B32,STARTOVKA,3,0)</f>
        <v>PLAKUSHKIN Sergey</v>
      </c>
      <c r="E32" s="65" t="str">
        <f>VLOOKUP(B32,STARTOVKA,4,0)</f>
        <v>RUSSIAN CYCLING FEDERATION</v>
      </c>
      <c r="F32" s="66" t="str">
        <f>VLOOKUP(B32,STARTOVKA,5,0)</f>
        <v>B0277</v>
      </c>
      <c r="G32" s="67" t="str">
        <f>VLOOKUP(B32,STARTOVKA,6,0)</f>
        <v>JUNIOR*</v>
      </c>
      <c r="H32" s="67" t="str">
        <f>VLOOKUP(B32,STARTOVKA,7,0)</f>
        <v>RUS</v>
      </c>
      <c r="I32" s="199">
        <f>SUM(R32,V32,Z32,AD32)-SUM(S32,W32,AA32,AE32)+AF32</f>
        <v>0.1638383796296296</v>
      </c>
      <c r="J32" s="31">
        <f>I32-$I$12</f>
        <v>2.0527662037036765E-3</v>
      </c>
      <c r="K32" s="31"/>
      <c r="M32" s="69">
        <f>A32</f>
        <v>21</v>
      </c>
      <c r="P32" s="36">
        <v>32</v>
      </c>
      <c r="Q32" s="43">
        <v>163</v>
      </c>
      <c r="R32" s="41">
        <v>7.8287037037037044E-2</v>
      </c>
      <c r="S32" s="35">
        <v>0</v>
      </c>
      <c r="T32" s="37">
        <v>20</v>
      </c>
      <c r="U32" s="44">
        <v>163</v>
      </c>
      <c r="V32" s="240">
        <v>7.1138425925925744E-3</v>
      </c>
      <c r="W32" s="38"/>
      <c r="X32" s="36">
        <v>41</v>
      </c>
      <c r="Y32" s="43">
        <v>163</v>
      </c>
      <c r="Z32" s="41">
        <v>7.8437500000000007E-2</v>
      </c>
      <c r="AA32" s="35">
        <v>0</v>
      </c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185</v>
      </c>
      <c r="C33" s="63" t="str">
        <f>VLOOKUP(B33,STARTOVKA,2,0)</f>
        <v>AUT19960302</v>
      </c>
      <c r="D33" s="64" t="str">
        <f>VLOOKUP(B33,STARTOVKA,3,0)</f>
        <v>TAFERNER Stefan</v>
      </c>
      <c r="E33" s="65" t="str">
        <f>VLOOKUP(B33,STARTOVKA,4,0)</f>
        <v xml:space="preserve">LRV STEIERMARK </v>
      </c>
      <c r="F33" s="66">
        <f>VLOOKUP(B33,STARTOVKA,5,0)</f>
        <v>100831</v>
      </c>
      <c r="G33" s="67" t="str">
        <f>VLOOKUP(B33,STARTOVKA,6,0)</f>
        <v>JUNIOR</v>
      </c>
      <c r="H33" s="67" t="str">
        <f>VLOOKUP(B33,STARTOVKA,7,0)</f>
        <v>LRV</v>
      </c>
      <c r="I33" s="199">
        <f>SUM(R33,V33,Z33,AD33)-SUM(S33,W33,AA33,AE33)+AF33</f>
        <v>0.16383935185185189</v>
      </c>
      <c r="J33" s="31">
        <f>I33-$I$12</f>
        <v>2.0537384259259606E-3</v>
      </c>
      <c r="K33" s="31"/>
      <c r="M33" s="69">
        <f>A33</f>
        <v>22</v>
      </c>
      <c r="P33" s="36">
        <v>24</v>
      </c>
      <c r="Q33" s="43">
        <v>185</v>
      </c>
      <c r="R33" s="41">
        <v>7.8287037037037044E-2</v>
      </c>
      <c r="S33" s="35">
        <v>0</v>
      </c>
      <c r="T33" s="37">
        <v>21</v>
      </c>
      <c r="U33" s="44">
        <v>185</v>
      </c>
      <c r="V33" s="240">
        <v>7.1148148148148516E-3</v>
      </c>
      <c r="W33" s="38"/>
      <c r="X33" s="36">
        <v>38</v>
      </c>
      <c r="Y33" s="43">
        <v>185</v>
      </c>
      <c r="Z33" s="41">
        <v>7.8437500000000007E-2</v>
      </c>
      <c r="AA33" s="35">
        <v>0</v>
      </c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93</v>
      </c>
      <c r="C34" s="63" t="str">
        <f>VLOOKUP(B34,STARTOVKA,2,0)</f>
        <v>CZE19960424</v>
      </c>
      <c r="D34" s="64" t="str">
        <f>VLOOKUP(B34,STARTOVKA,3,0)</f>
        <v xml:space="preserve">GRUBER Pavel </v>
      </c>
      <c r="E34" s="65" t="str">
        <f>VLOOKUP(B34,STARTOVKA,4,0)</f>
        <v xml:space="preserve">TJ FAVORIT BRNO </v>
      </c>
      <c r="F34" s="66">
        <f>VLOOKUP(B34,STARTOVKA,5,0)</f>
        <v>13075</v>
      </c>
      <c r="G34" s="67" t="str">
        <f>VLOOKUP(B34,STARTOVKA,6,0)</f>
        <v>JUNIOR</v>
      </c>
      <c r="H34" s="67" t="str">
        <f>VLOOKUP(B34,STARTOVKA,7,0)</f>
        <v>FAV</v>
      </c>
      <c r="I34" s="199">
        <f>SUM(R34,V34,Z34,AD34)-SUM(S34,W34,AA34,AE34)+AF34</f>
        <v>0.16389524305555553</v>
      </c>
      <c r="J34" s="31">
        <f>I34-$I$12</f>
        <v>2.1096296296296002E-3</v>
      </c>
      <c r="K34" s="31"/>
      <c r="M34" s="69">
        <f>A34</f>
        <v>23</v>
      </c>
      <c r="P34" s="36">
        <v>4</v>
      </c>
      <c r="Q34" s="43">
        <v>93</v>
      </c>
      <c r="R34" s="41">
        <v>7.8067129629629625E-2</v>
      </c>
      <c r="S34" s="35">
        <v>0</v>
      </c>
      <c r="T34" s="37">
        <v>43</v>
      </c>
      <c r="U34" s="44">
        <v>93</v>
      </c>
      <c r="V34" s="240">
        <v>7.390613425925896E-3</v>
      </c>
      <c r="W34" s="38"/>
      <c r="X34" s="36">
        <v>33</v>
      </c>
      <c r="Y34" s="43">
        <v>93</v>
      </c>
      <c r="Z34" s="41">
        <v>7.8437500000000007E-2</v>
      </c>
      <c r="AA34" s="35">
        <v>0</v>
      </c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97</v>
      </c>
      <c r="C35" s="63" t="str">
        <f>VLOOKUP(B35,STARTOVKA,2,0)</f>
        <v>SVK19961022</v>
      </c>
      <c r="D35" s="64" t="str">
        <f>VLOOKUP(B35,STARTOVKA,3,0)</f>
        <v xml:space="preserve">STRMISKA Andrej </v>
      </c>
      <c r="E35" s="65" t="str">
        <f>VLOOKUP(B35,STARTOVKA,4,0)</f>
        <v xml:space="preserve">TJ FAVORIT BRNO </v>
      </c>
      <c r="F35" s="66">
        <f>VLOOKUP(B35,STARTOVKA,5,0)</f>
        <v>6009</v>
      </c>
      <c r="G35" s="67" t="str">
        <f>VLOOKUP(B35,STARTOVKA,6,0)</f>
        <v>JUNIOR</v>
      </c>
      <c r="H35" s="67" t="str">
        <f>VLOOKUP(B35,STARTOVKA,7,0)</f>
        <v>FAV</v>
      </c>
      <c r="I35" s="199">
        <f>SUM(R35,V35,Z35,AD35)-SUM(S35,W35,AA35,AE35)+AF35</f>
        <v>0.16395906249999997</v>
      </c>
      <c r="J35" s="31">
        <f>I35-$I$12</f>
        <v>2.1734490740740464E-3</v>
      </c>
      <c r="K35" s="31"/>
      <c r="M35" s="69">
        <f>A35</f>
        <v>24</v>
      </c>
      <c r="P35" s="36">
        <v>55</v>
      </c>
      <c r="Q35" s="43">
        <v>97</v>
      </c>
      <c r="R35" s="41">
        <v>7.8287037037037044E-2</v>
      </c>
      <c r="S35" s="35">
        <v>0</v>
      </c>
      <c r="T35" s="37">
        <v>30</v>
      </c>
      <c r="U35" s="44">
        <v>97</v>
      </c>
      <c r="V35" s="240">
        <v>7.2345254629629166E-3</v>
      </c>
      <c r="W35" s="38"/>
      <c r="X35" s="36">
        <v>26</v>
      </c>
      <c r="Y35" s="43">
        <v>97</v>
      </c>
      <c r="Z35" s="41">
        <v>7.8437500000000007E-2</v>
      </c>
      <c r="AA35" s="35">
        <v>0</v>
      </c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161</v>
      </c>
      <c r="C36" s="63" t="str">
        <f>VLOOKUP(B36,STARTOVKA,2,0)</f>
        <v>RUS19970210</v>
      </c>
      <c r="D36" s="64" t="str">
        <f>VLOOKUP(B36,STARTOVKA,3,0)</f>
        <v>GRISHIN Maksim</v>
      </c>
      <c r="E36" s="65" t="str">
        <f>VLOOKUP(B36,STARTOVKA,4,0)</f>
        <v>RUSSIAN CYCLING FEDERATION</v>
      </c>
      <c r="F36" s="66" t="str">
        <f>VLOOKUP(B36,STARTOVKA,5,0)</f>
        <v>B0280</v>
      </c>
      <c r="G36" s="67" t="str">
        <f>VLOOKUP(B36,STARTOVKA,6,0)</f>
        <v>JUNIOR*</v>
      </c>
      <c r="H36" s="67" t="str">
        <f>VLOOKUP(B36,STARTOVKA,7,0)</f>
        <v>RUS</v>
      </c>
      <c r="I36" s="199">
        <f>SUM(R36,V36,Z36,AD36)-SUM(S36,W36,AA36,AE36)+AF36</f>
        <v>0.16396572916666668</v>
      </c>
      <c r="J36" s="31">
        <f>I36-$I$12</f>
        <v>2.1801157407407568E-3</v>
      </c>
      <c r="K36" s="31"/>
      <c r="M36" s="69">
        <f>A36</f>
        <v>25</v>
      </c>
      <c r="P36" s="36">
        <v>18</v>
      </c>
      <c r="Q36" s="43">
        <v>161</v>
      </c>
      <c r="R36" s="41">
        <v>7.8287037037037044E-2</v>
      </c>
      <c r="S36" s="35">
        <v>0</v>
      </c>
      <c r="T36" s="37">
        <v>31</v>
      </c>
      <c r="U36" s="44">
        <v>161</v>
      </c>
      <c r="V36" s="240">
        <v>7.2411921296296478E-3</v>
      </c>
      <c r="W36" s="38"/>
      <c r="X36" s="36">
        <v>17</v>
      </c>
      <c r="Y36" s="43">
        <v>161</v>
      </c>
      <c r="Z36" s="41">
        <v>7.8437500000000007E-2</v>
      </c>
      <c r="AA36" s="35">
        <v>0</v>
      </c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56</v>
      </c>
      <c r="C37" s="63" t="str">
        <f>VLOOKUP(B37,STARTOVKA,2,0)</f>
        <v>POL19970322</v>
      </c>
      <c r="D37" s="64" t="str">
        <f>VLOOKUP(B37,STARTOVKA,3,0)</f>
        <v>FOLTYN Maciej</v>
      </c>
      <c r="E37" s="65" t="str">
        <f>VLOOKUP(B37,STARTOVKA,4,0)</f>
        <v>GRUPA KOLARSKA GLIWICE BA</v>
      </c>
      <c r="F37" s="66" t="str">
        <f>VLOOKUP(B37,STARTOVKA,5,0)</f>
        <v>SLA219</v>
      </c>
      <c r="G37" s="67" t="str">
        <f>VLOOKUP(B37,STARTOVKA,6,0)</f>
        <v>JUNIOR*</v>
      </c>
      <c r="H37" s="67" t="str">
        <f>VLOOKUP(B37,STARTOVKA,7,0)</f>
        <v>GLI</v>
      </c>
      <c r="I37" s="199">
        <f>SUM(R37,V37,Z37,AD37)-SUM(S37,W37,AA37,AE37)+AF37</f>
        <v>0.16396995370370376</v>
      </c>
      <c r="J37" s="31">
        <f>I37-$I$12</f>
        <v>2.1843402777778353E-3</v>
      </c>
      <c r="K37" s="31"/>
      <c r="M37" s="69">
        <f>A37</f>
        <v>26</v>
      </c>
      <c r="P37" s="36">
        <v>72</v>
      </c>
      <c r="Q37" s="43">
        <v>56</v>
      </c>
      <c r="R37" s="41">
        <v>7.8287037037037044E-2</v>
      </c>
      <c r="S37" s="35">
        <v>0</v>
      </c>
      <c r="T37" s="37">
        <v>32</v>
      </c>
      <c r="U37" s="44">
        <v>56</v>
      </c>
      <c r="V37" s="240">
        <v>7.2454166666667055E-3</v>
      </c>
      <c r="W37" s="38"/>
      <c r="X37" s="36">
        <v>36</v>
      </c>
      <c r="Y37" s="43">
        <v>56</v>
      </c>
      <c r="Z37" s="41">
        <v>7.8437500000000007E-2</v>
      </c>
      <c r="AA37" s="35">
        <v>0</v>
      </c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181</v>
      </c>
      <c r="C38" s="63" t="str">
        <f>VLOOKUP(B38,STARTOVKA,2,0)</f>
        <v>AUT19960516</v>
      </c>
      <c r="D38" s="64" t="str">
        <f>VLOOKUP(B38,STARTOVKA,3,0)</f>
        <v>DYCZEK Felix</v>
      </c>
      <c r="E38" s="65" t="str">
        <f>VLOOKUP(B38,STARTOVKA,4,0)</f>
        <v xml:space="preserve">LRV STEIERMARK </v>
      </c>
      <c r="F38" s="66">
        <f>VLOOKUP(B38,STARTOVKA,5,0)</f>
        <v>100824</v>
      </c>
      <c r="G38" s="67" t="str">
        <f>VLOOKUP(B38,STARTOVKA,6,0)</f>
        <v>JUNIOR</v>
      </c>
      <c r="H38" s="67" t="str">
        <f>VLOOKUP(B38,STARTOVKA,7,0)</f>
        <v>LRV</v>
      </c>
      <c r="I38" s="199">
        <f>SUM(R38,V38,Z38,AD38)-SUM(S38,W38,AA38,AE38)+AF38</f>
        <v>0.16401100694444448</v>
      </c>
      <c r="J38" s="31">
        <f>I38-$I$12</f>
        <v>2.2253935185185536E-3</v>
      </c>
      <c r="K38" s="31"/>
      <c r="M38" s="69">
        <f>A38</f>
        <v>27</v>
      </c>
      <c r="P38" s="36">
        <v>60</v>
      </c>
      <c r="Q38" s="43">
        <v>181</v>
      </c>
      <c r="R38" s="41">
        <v>7.8287037037037044E-2</v>
      </c>
      <c r="S38" s="35">
        <v>0</v>
      </c>
      <c r="T38" s="37">
        <v>35</v>
      </c>
      <c r="U38" s="44">
        <v>181</v>
      </c>
      <c r="V38" s="240">
        <v>7.2864699074074446E-3</v>
      </c>
      <c r="W38" s="38"/>
      <c r="X38" s="36">
        <v>32</v>
      </c>
      <c r="Y38" s="43">
        <v>181</v>
      </c>
      <c r="Z38" s="41">
        <v>7.8437500000000007E-2</v>
      </c>
      <c r="AA38" s="35">
        <v>0</v>
      </c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150</v>
      </c>
      <c r="C39" s="63" t="str">
        <f>VLOOKUP(B39,STARTOVKA,2,0)</f>
        <v>CZE19970926</v>
      </c>
      <c r="D39" s="64" t="str">
        <f>VLOOKUP(B39,STARTOVKA,3,0)</f>
        <v xml:space="preserve">BRÁZDA Michal </v>
      </c>
      <c r="E39" s="65" t="str">
        <f>VLOOKUP(B39,STARTOVKA,4,0)</f>
        <v xml:space="preserve">MAPEI CYKLO KAŇKOVSKÝ </v>
      </c>
      <c r="F39" s="66">
        <f>VLOOKUP(B39,STARTOVKA,5,0)</f>
        <v>8547</v>
      </c>
      <c r="G39" s="67" t="str">
        <f>VLOOKUP(B39,STARTOVKA,6,0)</f>
        <v>JUNIOR*</v>
      </c>
      <c r="H39" s="67" t="str">
        <f>VLOOKUP(B39,STARTOVKA,7,0)</f>
        <v>MAP</v>
      </c>
      <c r="I39" s="199">
        <f>SUM(R39,V39,Z39,AD39)-SUM(S39,W39,AA39,AE39)+AF39</f>
        <v>0.16404045138888892</v>
      </c>
      <c r="J39" s="31">
        <f>I39-$I$12</f>
        <v>2.2548379629629967E-3</v>
      </c>
      <c r="K39" s="31"/>
      <c r="M39" s="69">
        <f>A39</f>
        <v>28</v>
      </c>
      <c r="P39" s="36">
        <v>10</v>
      </c>
      <c r="Q39" s="43">
        <v>150</v>
      </c>
      <c r="R39" s="41">
        <v>7.8287037037037044E-2</v>
      </c>
      <c r="S39" s="35">
        <v>2.3148148148148147E-5</v>
      </c>
      <c r="T39" s="37">
        <v>37</v>
      </c>
      <c r="U39" s="44">
        <v>150</v>
      </c>
      <c r="V39" s="240">
        <v>7.3390625000000348E-3</v>
      </c>
      <c r="W39" s="38"/>
      <c r="X39" s="36">
        <v>15</v>
      </c>
      <c r="Y39" s="43">
        <v>150</v>
      </c>
      <c r="Z39" s="41">
        <v>7.8437500000000007E-2</v>
      </c>
      <c r="AA39" s="35">
        <v>0</v>
      </c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96</v>
      </c>
      <c r="C40" s="63" t="str">
        <f>VLOOKUP(B40,STARTOVKA,2,0)</f>
        <v>CZE19960516</v>
      </c>
      <c r="D40" s="64" t="str">
        <f>VLOOKUP(B40,STARTOVKA,3,0)</f>
        <v xml:space="preserve">SCHMIDT Vít </v>
      </c>
      <c r="E40" s="65" t="str">
        <f>VLOOKUP(B40,STARTOVKA,4,0)</f>
        <v xml:space="preserve">TJ FAVORIT BRNO </v>
      </c>
      <c r="F40" s="66">
        <f>VLOOKUP(B40,STARTOVKA,5,0)</f>
        <v>8369</v>
      </c>
      <c r="G40" s="67" t="str">
        <f>VLOOKUP(B40,STARTOVKA,6,0)</f>
        <v>JUNIOR</v>
      </c>
      <c r="H40" s="67" t="str">
        <f>VLOOKUP(B40,STARTOVKA,7,0)</f>
        <v>FAV</v>
      </c>
      <c r="I40" s="199">
        <f>SUM(R40,V40,Z40,AD40)-SUM(S40,W40,AA40,AE40)+AF40</f>
        <v>0.16405956018518519</v>
      </c>
      <c r="J40" s="31">
        <f>I40-$I$12</f>
        <v>2.2739467592592655E-3</v>
      </c>
      <c r="K40" s="31"/>
      <c r="M40" s="69">
        <f>A40</f>
        <v>29</v>
      </c>
      <c r="P40" s="36">
        <v>37</v>
      </c>
      <c r="Q40" s="43">
        <v>96</v>
      </c>
      <c r="R40" s="41">
        <v>7.8287037037037044E-2</v>
      </c>
      <c r="S40" s="35">
        <v>0</v>
      </c>
      <c r="T40" s="37">
        <v>36</v>
      </c>
      <c r="U40" s="44">
        <v>96</v>
      </c>
      <c r="V40" s="240">
        <v>7.3350231481481634E-3</v>
      </c>
      <c r="W40" s="38"/>
      <c r="X40" s="36">
        <v>35</v>
      </c>
      <c r="Y40" s="43">
        <v>96</v>
      </c>
      <c r="Z40" s="41">
        <v>7.8437500000000007E-2</v>
      </c>
      <c r="AA40" s="35">
        <v>0</v>
      </c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187</v>
      </c>
      <c r="C41" s="63" t="str">
        <f>VLOOKUP(B41,STARTOVKA,2,0)</f>
        <v>AUT19970913</v>
      </c>
      <c r="D41" s="64" t="str">
        <f>VLOOKUP(B41,STARTOVKA,3,0)</f>
        <v>DALLINGER Christian</v>
      </c>
      <c r="E41" s="65" t="str">
        <f>VLOOKUP(B41,STARTOVKA,4,0)</f>
        <v xml:space="preserve">LRV STEIERMARK </v>
      </c>
      <c r="F41" s="66">
        <f>VLOOKUP(B41,STARTOVKA,5,0)</f>
        <v>100350</v>
      </c>
      <c r="G41" s="67" t="str">
        <f>VLOOKUP(B41,STARTOVKA,6,0)</f>
        <v>JUNIOR*</v>
      </c>
      <c r="H41" s="67" t="str">
        <f>VLOOKUP(B41,STARTOVKA,7,0)</f>
        <v>LRV</v>
      </c>
      <c r="I41" s="199">
        <f>SUM(R41,V41,Z41,AD41)-SUM(S41,W41,AA41,AE41)+AF41</f>
        <v>0.16407831018518515</v>
      </c>
      <c r="J41" s="31">
        <f>I41-$I$12</f>
        <v>2.2926967592592218E-3</v>
      </c>
      <c r="K41" s="31"/>
      <c r="M41" s="69">
        <f>A41</f>
        <v>30</v>
      </c>
      <c r="P41" s="36">
        <v>74</v>
      </c>
      <c r="Q41" s="43">
        <v>187</v>
      </c>
      <c r="R41" s="41">
        <v>7.8287037037037044E-2</v>
      </c>
      <c r="S41" s="35">
        <v>0</v>
      </c>
      <c r="T41" s="37">
        <v>39</v>
      </c>
      <c r="U41" s="44">
        <v>187</v>
      </c>
      <c r="V41" s="240">
        <v>7.3537731481481058E-3</v>
      </c>
      <c r="W41" s="38"/>
      <c r="X41" s="36">
        <v>29</v>
      </c>
      <c r="Y41" s="43">
        <v>187</v>
      </c>
      <c r="Z41" s="41">
        <v>7.8437500000000007E-2</v>
      </c>
      <c r="AA41" s="35">
        <v>0</v>
      </c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123</v>
      </c>
      <c r="C42" s="63" t="str">
        <f>VLOOKUP(B42,STARTOVKA,2,0)</f>
        <v>CZE19971015</v>
      </c>
      <c r="D42" s="64" t="str">
        <f>VLOOKUP(B42,STARTOVKA,3,0)</f>
        <v xml:space="preserve">STRUPEK Matyáš </v>
      </c>
      <c r="E42" s="65" t="str">
        <f>VLOOKUP(B42,STARTOVKA,4,0)</f>
        <v xml:space="preserve">SKC TUFO PROSTĚJOV </v>
      </c>
      <c r="F42" s="66">
        <f>VLOOKUP(B42,STARTOVKA,5,0)</f>
        <v>11747</v>
      </c>
      <c r="G42" s="67" t="str">
        <f>VLOOKUP(B42,STARTOVKA,6,0)</f>
        <v>JUNIOR*</v>
      </c>
      <c r="H42" s="67" t="str">
        <f>VLOOKUP(B42,STARTOVKA,7,0)</f>
        <v>SKC</v>
      </c>
      <c r="I42" s="199">
        <f>SUM(R42,V42,Z42,AD42)-SUM(S42,W42,AA42,AE42)+AF42</f>
        <v>0.16409752314814813</v>
      </c>
      <c r="J42" s="31">
        <f>I42-$I$12</f>
        <v>2.3119097222221996E-3</v>
      </c>
      <c r="K42" s="31"/>
      <c r="M42" s="69">
        <f>A42</f>
        <v>31</v>
      </c>
      <c r="P42" s="36">
        <v>38</v>
      </c>
      <c r="Q42" s="43">
        <v>123</v>
      </c>
      <c r="R42" s="41">
        <v>7.8287037037037044E-2</v>
      </c>
      <c r="S42" s="35">
        <v>0</v>
      </c>
      <c r="T42" s="37">
        <v>40</v>
      </c>
      <c r="U42" s="44">
        <v>123</v>
      </c>
      <c r="V42" s="240">
        <v>7.3729861111110767E-3</v>
      </c>
      <c r="W42" s="38"/>
      <c r="X42" s="36">
        <v>40</v>
      </c>
      <c r="Y42" s="43">
        <v>123</v>
      </c>
      <c r="Z42" s="41">
        <v>7.8437500000000007E-2</v>
      </c>
      <c r="AA42" s="35">
        <v>0</v>
      </c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171</v>
      </c>
      <c r="C43" s="63" t="str">
        <f>VLOOKUP(B43,STARTOVKA,2,0)</f>
        <v>SVK19970301</v>
      </c>
      <c r="D43" s="64" t="str">
        <f>VLOOKUP(B43,STARTOVKA,3,0)</f>
        <v>KNIHA Ladislav</v>
      </c>
      <c r="E43" s="65" t="str">
        <f>VLOOKUP(B43,STARTOVKA,4,0)</f>
        <v xml:space="preserve">SLOVAK CYCLING FEDERATION </v>
      </c>
      <c r="F43" s="66">
        <f>VLOOKUP(B43,STARTOVKA,5,0)</f>
        <v>6788</v>
      </c>
      <c r="G43" s="67" t="str">
        <f>VLOOKUP(B43,STARTOVKA,6,0)</f>
        <v>JUNIOR*</v>
      </c>
      <c r="H43" s="67" t="str">
        <f>VLOOKUP(B43,STARTOVKA,7,0)</f>
        <v>SVK</v>
      </c>
      <c r="I43" s="199">
        <f>SUM(R43,V43,Z43,AD43)-SUM(S43,W43,AA43,AE43)+AF43</f>
        <v>0.16410761574074079</v>
      </c>
      <c r="J43" s="31">
        <f>I43-$I$12</f>
        <v>2.3220023148148583E-3</v>
      </c>
      <c r="K43" s="31"/>
      <c r="M43" s="69">
        <f>A43</f>
        <v>32</v>
      </c>
      <c r="P43" s="36">
        <v>22</v>
      </c>
      <c r="Q43" s="43">
        <v>171</v>
      </c>
      <c r="R43" s="41">
        <v>7.8287037037037044E-2</v>
      </c>
      <c r="S43" s="35">
        <v>0</v>
      </c>
      <c r="T43" s="37">
        <v>41</v>
      </c>
      <c r="U43" s="44">
        <v>171</v>
      </c>
      <c r="V43" s="240">
        <v>7.3830787037037354E-3</v>
      </c>
      <c r="W43" s="38"/>
      <c r="X43" s="36">
        <v>19</v>
      </c>
      <c r="Y43" s="43">
        <v>171</v>
      </c>
      <c r="Z43" s="41">
        <v>7.8437500000000007E-2</v>
      </c>
      <c r="AA43" s="35">
        <v>0</v>
      </c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34</v>
      </c>
      <c r="C44" s="63" t="str">
        <f>VLOOKUP(B44,STARTOVKA,2,0)</f>
        <v>CZE19960513</v>
      </c>
      <c r="D44" s="64" t="str">
        <f>VLOOKUP(B44,STARTOVKA,3,0)</f>
        <v xml:space="preserve">SCHUBERT Štěpán </v>
      </c>
      <c r="E44" s="65" t="str">
        <f>VLOOKUP(B44,STARTOVKA,4,0)</f>
        <v xml:space="preserve">REMERX MERIDA TEAM JUNIOR </v>
      </c>
      <c r="F44" s="66">
        <f>VLOOKUP(B44,STARTOVKA,5,0)</f>
        <v>19574</v>
      </c>
      <c r="G44" s="67" t="str">
        <f>VLOOKUP(B44,STARTOVKA,6,0)</f>
        <v>JUNIOR</v>
      </c>
      <c r="H44" s="67" t="str">
        <f>VLOOKUP(B44,STARTOVKA,7,0)</f>
        <v>REM</v>
      </c>
      <c r="I44" s="199">
        <f>SUM(R44,V44,Z44,AD44)-SUM(S44,W44,AA44,AE44)+AF44</f>
        <v>0.16414954861111108</v>
      </c>
      <c r="J44" s="31">
        <f>I44-$I$12</f>
        <v>2.3639351851851564E-3</v>
      </c>
      <c r="K44" s="31"/>
      <c r="M44" s="69">
        <f>A44</f>
        <v>33</v>
      </c>
      <c r="P44" s="36">
        <v>28</v>
      </c>
      <c r="Q44" s="43">
        <v>34</v>
      </c>
      <c r="R44" s="41">
        <v>7.8287037037037044E-2</v>
      </c>
      <c r="S44" s="35">
        <v>0</v>
      </c>
      <c r="T44" s="37">
        <v>46</v>
      </c>
      <c r="U44" s="44">
        <v>34</v>
      </c>
      <c r="V44" s="240">
        <v>7.4250115740740336E-3</v>
      </c>
      <c r="W44" s="38"/>
      <c r="X44" s="36">
        <v>24</v>
      </c>
      <c r="Y44" s="43">
        <v>34</v>
      </c>
      <c r="Z44" s="41">
        <v>7.8437500000000007E-2</v>
      </c>
      <c r="AA44" s="35">
        <v>0</v>
      </c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117</v>
      </c>
      <c r="C45" s="63" t="str">
        <f>VLOOKUP(B45,STARTOVKA,2,0)</f>
        <v>GER19971022</v>
      </c>
      <c r="D45" s="64" t="str">
        <f>VLOOKUP(B45,STARTOVKA,3,0)</f>
        <v>KANTER Max</v>
      </c>
      <c r="E45" s="65" t="str">
        <f>VLOOKUP(B45,STARTOVKA,4,0)</f>
        <v>TEAM BRANDENBURG - RSC COTTBUS</v>
      </c>
      <c r="F45" s="66" t="str">
        <f>VLOOKUP(B45,STARTOVKA,5,0)</f>
        <v>044005-11</v>
      </c>
      <c r="G45" s="67" t="str">
        <f>VLOOKUP(B45,STARTOVKA,6,0)</f>
        <v>JUNIOR*</v>
      </c>
      <c r="H45" s="67" t="str">
        <f>VLOOKUP(B45,STARTOVKA,7,0)</f>
        <v>COT</v>
      </c>
      <c r="I45" s="199">
        <f>SUM(R45,V45,Z45,AD45)-SUM(S45,W45,AA45,AE45)+AF45</f>
        <v>0.16415934027777782</v>
      </c>
      <c r="J45" s="31">
        <f>I45-$I$12</f>
        <v>2.3737268518518873E-3</v>
      </c>
      <c r="K45" s="31"/>
      <c r="M45" s="69">
        <f>A45</f>
        <v>34</v>
      </c>
      <c r="P45" s="36">
        <v>9</v>
      </c>
      <c r="Q45" s="43">
        <v>117</v>
      </c>
      <c r="R45" s="41">
        <v>7.8287037037037044E-2</v>
      </c>
      <c r="S45" s="35">
        <v>0</v>
      </c>
      <c r="T45" s="37">
        <v>4</v>
      </c>
      <c r="U45" s="44">
        <v>117</v>
      </c>
      <c r="V45" s="240">
        <v>6.8908217592592858E-3</v>
      </c>
      <c r="W45" s="38"/>
      <c r="X45" s="36">
        <v>44</v>
      </c>
      <c r="Y45" s="43">
        <v>117</v>
      </c>
      <c r="Z45" s="41">
        <v>7.8981481481481486E-2</v>
      </c>
      <c r="AA45" s="35">
        <v>0</v>
      </c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132</v>
      </c>
      <c r="C46" s="63" t="str">
        <f>VLOOKUP(B46,STARTOVKA,2,0)</f>
        <v>AUT19961021</v>
      </c>
      <c r="D46" s="64" t="str">
        <f>VLOOKUP(B46,STARTOVKA,3,0)</f>
        <v>KNAPP Daniel</v>
      </c>
      <c r="E46" s="65" t="str">
        <f>VLOOKUP(B46,STARTOVKA,4,0)</f>
        <v>UNION RAIFFEISEN RADTEAM TIROL</v>
      </c>
      <c r="F46" s="66">
        <f>VLOOKUP(B46,STARTOVKA,5,0)</f>
        <v>100480</v>
      </c>
      <c r="G46" s="67" t="str">
        <f>VLOOKUP(B46,STARTOVKA,6,0)</f>
        <v>JUNIOR</v>
      </c>
      <c r="H46" s="67" t="str">
        <f>VLOOKUP(B46,STARTOVKA,7,0)</f>
        <v>RCA</v>
      </c>
      <c r="I46" s="199">
        <f>SUM(R46,V46,Z46,AD46)-SUM(S46,W46,AA46,AE46)+AF46</f>
        <v>0.16420796296296294</v>
      </c>
      <c r="J46" s="31">
        <f>I46-$I$12</f>
        <v>2.4223495370370163E-3</v>
      </c>
      <c r="K46" s="31"/>
      <c r="M46" s="69">
        <f>A46</f>
        <v>35</v>
      </c>
      <c r="P46" s="36">
        <v>64</v>
      </c>
      <c r="Q46" s="43">
        <v>132</v>
      </c>
      <c r="R46" s="41">
        <v>7.8287037037037044E-2</v>
      </c>
      <c r="S46" s="35">
        <v>3.4722222222222222E-5</v>
      </c>
      <c r="T46" s="37">
        <v>55</v>
      </c>
      <c r="U46" s="44">
        <v>132</v>
      </c>
      <c r="V46" s="240">
        <v>7.518148148148121E-3</v>
      </c>
      <c r="W46" s="38"/>
      <c r="X46" s="36">
        <v>27</v>
      </c>
      <c r="Y46" s="43">
        <v>132</v>
      </c>
      <c r="Z46" s="41">
        <v>7.8437500000000007E-2</v>
      </c>
      <c r="AA46" s="35">
        <v>0</v>
      </c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106</v>
      </c>
      <c r="C47" s="63" t="str">
        <f>VLOOKUP(B47,STARTOVKA,2,0)</f>
        <v>CZE19970109</v>
      </c>
      <c r="D47" s="64" t="str">
        <f>VLOOKUP(B47,STARTOVKA,3,0)</f>
        <v xml:space="preserve">SVATEK Miroslav </v>
      </c>
      <c r="E47" s="65" t="str">
        <f>VLOOKUP(B47,STARTOVKA,4,0)</f>
        <v xml:space="preserve">PROFI SPORT CHEB </v>
      </c>
      <c r="F47" s="66">
        <f>VLOOKUP(B47,STARTOVKA,5,0)</f>
        <v>9623</v>
      </c>
      <c r="G47" s="67" t="str">
        <f>VLOOKUP(B47,STARTOVKA,6,0)</f>
        <v>JUNIOR*</v>
      </c>
      <c r="H47" s="67" t="str">
        <f>VLOOKUP(B47,STARTOVKA,7,0)</f>
        <v>LOU</v>
      </c>
      <c r="I47" s="199">
        <f>SUM(R47,V47,Z47,AD47)-SUM(S47,W47,AA47,AE47)+AF47</f>
        <v>0.16424534722222223</v>
      </c>
      <c r="J47" s="31">
        <f>I47-$I$12</f>
        <v>2.4597337962962984E-3</v>
      </c>
      <c r="K47" s="31"/>
      <c r="M47" s="69">
        <f>A47</f>
        <v>36</v>
      </c>
      <c r="P47" s="36">
        <v>23</v>
      </c>
      <c r="Q47" s="43">
        <v>106</v>
      </c>
      <c r="R47" s="41">
        <v>7.8287037037037044E-2</v>
      </c>
      <c r="S47" s="35">
        <v>0</v>
      </c>
      <c r="T47" s="37">
        <v>56</v>
      </c>
      <c r="U47" s="44">
        <v>106</v>
      </c>
      <c r="V47" s="240">
        <v>7.5208101851851755E-3</v>
      </c>
      <c r="W47" s="38"/>
      <c r="X47" s="36">
        <v>31</v>
      </c>
      <c r="Y47" s="43">
        <v>106</v>
      </c>
      <c r="Z47" s="41">
        <v>7.8437500000000007E-2</v>
      </c>
      <c r="AA47" s="35">
        <v>0</v>
      </c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13</v>
      </c>
      <c r="C48" s="63" t="str">
        <f>VLOOKUP(B48,STARTOVKA,2,0)</f>
        <v>GER19970125</v>
      </c>
      <c r="D48" s="64" t="str">
        <f>VLOOKUP(B48,STARTOVKA,3,0)</f>
        <v>FRANZ Toni</v>
      </c>
      <c r="E48" s="65" t="str">
        <f>VLOOKUP(B48,STARTOVKA,4,0)</f>
        <v>JUNIOREN SCHWALBE TEAM SACHSEN</v>
      </c>
      <c r="F48" s="66" t="str">
        <f>VLOOKUP(B48,STARTOVKA,5,0)</f>
        <v xml:space="preserve">SAC 134961 </v>
      </c>
      <c r="G48" s="67" t="str">
        <f>VLOOKUP(B48,STARTOVKA,6,0)</f>
        <v>JUNIOR*</v>
      </c>
      <c r="H48" s="67" t="str">
        <f>VLOOKUP(B48,STARTOVKA,7,0)</f>
        <v>SCW</v>
      </c>
      <c r="I48" s="199">
        <f>SUM(R48,V48,Z48,AD48)-SUM(S48,W48,AA48,AE48)+AF48</f>
        <v>0.1643505787037037</v>
      </c>
      <c r="J48" s="31">
        <f>I48-$I$12</f>
        <v>2.5649652777777754E-3</v>
      </c>
      <c r="K48" s="31"/>
      <c r="M48" s="69">
        <f>A48</f>
        <v>37</v>
      </c>
      <c r="P48" s="36">
        <v>98</v>
      </c>
      <c r="Q48" s="43">
        <v>13</v>
      </c>
      <c r="R48" s="41">
        <v>7.8287037037037044E-2</v>
      </c>
      <c r="S48" s="35">
        <v>0</v>
      </c>
      <c r="T48" s="37">
        <v>65</v>
      </c>
      <c r="U48" s="44">
        <v>13</v>
      </c>
      <c r="V48" s="240">
        <v>7.6260416666666577E-3</v>
      </c>
      <c r="W48" s="38"/>
      <c r="X48" s="36">
        <v>16</v>
      </c>
      <c r="Y48" s="43">
        <v>13</v>
      </c>
      <c r="Z48" s="41">
        <v>7.8437500000000007E-2</v>
      </c>
      <c r="AA48" s="35">
        <v>0</v>
      </c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49</v>
      </c>
      <c r="C49" s="63" t="str">
        <f>VLOOKUP(B49,STARTOVKA,2,0)</f>
        <v>CZE19960703</v>
      </c>
      <c r="D49" s="64" t="str">
        <f>VLOOKUP(B49,STARTOVKA,3,0)</f>
        <v xml:space="preserve">ŠÍREK Adrian </v>
      </c>
      <c r="E49" s="65" t="str">
        <f>VLOOKUP(B49,STARTOVKA,4,0)</f>
        <v>KC KOOPERATIVA SG JABLONEC N.N</v>
      </c>
      <c r="F49" s="66">
        <f>VLOOKUP(B49,STARTOVKA,5,0)</f>
        <v>12955</v>
      </c>
      <c r="G49" s="67" t="str">
        <f>VLOOKUP(B49,STARTOVKA,6,0)</f>
        <v>JUNIOR</v>
      </c>
      <c r="H49" s="67" t="str">
        <f>VLOOKUP(B49,STARTOVKA,7,0)</f>
        <v>KOO</v>
      </c>
      <c r="I49" s="199">
        <f>SUM(R49,V49,Z49,AD49)-SUM(S49,W49,AA49,AE49)+AF49</f>
        <v>0.16435833333333338</v>
      </c>
      <c r="J49" s="31">
        <f>I49-$I$12</f>
        <v>2.5727199074074558E-3</v>
      </c>
      <c r="K49" s="31"/>
      <c r="M49" s="69">
        <f>A49</f>
        <v>38</v>
      </c>
      <c r="P49" s="36">
        <v>31</v>
      </c>
      <c r="Q49" s="43">
        <v>49</v>
      </c>
      <c r="R49" s="41">
        <v>7.8287037037037044E-2</v>
      </c>
      <c r="S49" s="35">
        <v>0</v>
      </c>
      <c r="T49" s="37">
        <v>66</v>
      </c>
      <c r="U49" s="44">
        <v>49</v>
      </c>
      <c r="V49" s="240">
        <v>7.633796296296326E-3</v>
      </c>
      <c r="W49" s="38"/>
      <c r="X49" s="36">
        <v>34</v>
      </c>
      <c r="Y49" s="43">
        <v>49</v>
      </c>
      <c r="Z49" s="41">
        <v>7.8437500000000007E-2</v>
      </c>
      <c r="AA49" s="35">
        <v>0</v>
      </c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182</v>
      </c>
      <c r="C50" s="63" t="str">
        <f>VLOOKUP(B50,STARTOVKA,2,0)</f>
        <v>AUT19960709</v>
      </c>
      <c r="D50" s="64" t="str">
        <f>VLOOKUP(B50,STARTOVKA,3,0)</f>
        <v>KOPFAUF Markus</v>
      </c>
      <c r="E50" s="65" t="str">
        <f>VLOOKUP(B50,STARTOVKA,4,0)</f>
        <v xml:space="preserve">LRV STEIERMARK </v>
      </c>
      <c r="F50" s="66">
        <f>VLOOKUP(B50,STARTOVKA,5,0)</f>
        <v>100827</v>
      </c>
      <c r="G50" s="67" t="str">
        <f>VLOOKUP(B50,STARTOVKA,6,0)</f>
        <v>JUNIOR</v>
      </c>
      <c r="H50" s="67" t="str">
        <f>VLOOKUP(B50,STARTOVKA,7,0)</f>
        <v>LRV</v>
      </c>
      <c r="I50" s="199">
        <f>SUM(R50,V50,Z50,AD50)-SUM(S50,W50,AA50,AE50)+AF50</f>
        <v>0.16437390046296294</v>
      </c>
      <c r="J50" s="31">
        <f>I50-$I$12</f>
        <v>2.588287037037007E-3</v>
      </c>
      <c r="K50" s="31"/>
      <c r="M50" s="69">
        <f>A50</f>
        <v>39</v>
      </c>
      <c r="P50" s="36">
        <v>8</v>
      </c>
      <c r="Q50" s="43">
        <v>182</v>
      </c>
      <c r="R50" s="41">
        <v>7.8287037037037044E-2</v>
      </c>
      <c r="S50" s="35">
        <v>0</v>
      </c>
      <c r="T50" s="37">
        <v>3</v>
      </c>
      <c r="U50" s="44">
        <v>182</v>
      </c>
      <c r="V50" s="240">
        <v>6.7928819444444122E-3</v>
      </c>
      <c r="W50" s="38"/>
      <c r="X50" s="36">
        <v>48</v>
      </c>
      <c r="Y50" s="43">
        <v>182</v>
      </c>
      <c r="Z50" s="41">
        <v>7.9293981481481479E-2</v>
      </c>
      <c r="AA50" s="35">
        <v>0</v>
      </c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85</v>
      </c>
      <c r="C51" s="63" t="str">
        <f>VLOOKUP(B51,STARTOVKA,2,0)</f>
        <v>CZE19970804</v>
      </c>
      <c r="D51" s="64" t="str">
        <f>VLOOKUP(B51,STARTOVKA,3,0)</f>
        <v xml:space="preserve">SPUDIL Martin </v>
      </c>
      <c r="E51" s="65" t="str">
        <f>VLOOKUP(B51,STARTOVKA,4,0)</f>
        <v xml:space="preserve">SP KOLO LOAP SPECIALIZED </v>
      </c>
      <c r="F51" s="66">
        <f>VLOOKUP(B51,STARTOVKA,5,0)</f>
        <v>10880</v>
      </c>
      <c r="G51" s="67" t="str">
        <f>VLOOKUP(B51,STARTOVKA,6,0)</f>
        <v>JUNIOR*</v>
      </c>
      <c r="H51" s="67" t="str">
        <f>VLOOKUP(B51,STARTOVKA,7,0)</f>
        <v>KOV</v>
      </c>
      <c r="I51" s="199">
        <f>SUM(R51,V51,Z51,AD51)-SUM(S51,W51,AA51,AE51)+AF51</f>
        <v>0.16439939814814816</v>
      </c>
      <c r="J51" s="31">
        <f>I51-$I$12</f>
        <v>2.6137847222222343E-3</v>
      </c>
      <c r="K51" s="31"/>
      <c r="M51" s="69">
        <f>A51</f>
        <v>40</v>
      </c>
      <c r="P51" s="36">
        <v>15</v>
      </c>
      <c r="Q51" s="43">
        <v>85</v>
      </c>
      <c r="R51" s="41">
        <v>7.8287037037037044E-2</v>
      </c>
      <c r="S51" s="35">
        <v>0</v>
      </c>
      <c r="T51" s="37">
        <v>68</v>
      </c>
      <c r="U51" s="44">
        <v>85</v>
      </c>
      <c r="V51" s="240">
        <v>7.6748611111111115E-3</v>
      </c>
      <c r="W51" s="38"/>
      <c r="X51" s="36">
        <v>22</v>
      </c>
      <c r="Y51" s="43">
        <v>85</v>
      </c>
      <c r="Z51" s="41">
        <v>7.8437500000000007E-2</v>
      </c>
      <c r="AA51" s="35">
        <v>0</v>
      </c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148</v>
      </c>
      <c r="C52" s="63" t="str">
        <f>VLOOKUP(B52,STARTOVKA,2,0)</f>
        <v>CZE19960522</v>
      </c>
      <c r="D52" s="64" t="str">
        <f>VLOOKUP(B52,STARTOVKA,3,0)</f>
        <v xml:space="preserve">PUDL Tomáš </v>
      </c>
      <c r="E52" s="65" t="str">
        <f>VLOOKUP(B52,STARTOVKA,4,0)</f>
        <v xml:space="preserve">MAPEI CYKLO KAŇKOVSKÝ </v>
      </c>
      <c r="F52" s="66">
        <f>VLOOKUP(B52,STARTOVKA,5,0)</f>
        <v>19342</v>
      </c>
      <c r="G52" s="67" t="str">
        <f>VLOOKUP(B52,STARTOVKA,6,0)</f>
        <v>JUNIOR</v>
      </c>
      <c r="H52" s="67" t="str">
        <f>VLOOKUP(B52,STARTOVKA,7,0)</f>
        <v>MAP</v>
      </c>
      <c r="I52" s="199">
        <f>SUM(R52,V52,Z52,AD52)-SUM(S52,W52,AA52,AE52)+AF52</f>
        <v>0.16440083333333333</v>
      </c>
      <c r="J52" s="31">
        <f>I52-$I$12</f>
        <v>2.6152199074074012E-3</v>
      </c>
      <c r="K52" s="31"/>
      <c r="M52" s="69">
        <f>A52</f>
        <v>41</v>
      </c>
      <c r="P52" s="36">
        <v>40</v>
      </c>
      <c r="Q52" s="43">
        <v>148</v>
      </c>
      <c r="R52" s="41">
        <v>7.8287037037037044E-2</v>
      </c>
      <c r="S52" s="35">
        <v>0</v>
      </c>
      <c r="T52" s="37">
        <v>69</v>
      </c>
      <c r="U52" s="44">
        <v>148</v>
      </c>
      <c r="V52" s="240">
        <v>7.6762962962962783E-3</v>
      </c>
      <c r="W52" s="38"/>
      <c r="X52" s="36">
        <v>39</v>
      </c>
      <c r="Y52" s="43">
        <v>148</v>
      </c>
      <c r="Z52" s="41">
        <v>7.8437500000000007E-2</v>
      </c>
      <c r="AA52" s="35">
        <v>0</v>
      </c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84</v>
      </c>
      <c r="C53" s="63" t="str">
        <f>VLOOKUP(B53,STARTOVKA,2,0)</f>
        <v>BEL19970116</v>
      </c>
      <c r="D53" s="64" t="str">
        <f>VLOOKUP(B53,STARTOVKA,3,0)</f>
        <v>PENNINCK Jens</v>
      </c>
      <c r="E53" s="65" t="str">
        <f>VLOOKUP(B53,STARTOVKA,4,0)</f>
        <v>VZW TIELTSE RENNERSCLUB - JIELKER GELDHOF</v>
      </c>
      <c r="F53" s="66">
        <f>VLOOKUP(B53,STARTOVKA,5,0)</f>
        <v>35143</v>
      </c>
      <c r="G53" s="67" t="str">
        <f>VLOOKUP(B53,STARTOVKA,6,0)</f>
        <v>JUNIOR*</v>
      </c>
      <c r="H53" s="67" t="str">
        <f>VLOOKUP(B53,STARTOVKA,7,0)</f>
        <v>KOV</v>
      </c>
      <c r="I53" s="199">
        <f>SUM(R53,V53,Z53,AD53)-SUM(S53,W53,AA53,AE53)+AF53</f>
        <v>0.16450847222222223</v>
      </c>
      <c r="J53" s="31">
        <f>I53-$I$12</f>
        <v>2.7228587962963013E-3</v>
      </c>
      <c r="K53" s="31"/>
      <c r="M53" s="69">
        <f>A53</f>
        <v>42</v>
      </c>
      <c r="P53" s="36">
        <v>45</v>
      </c>
      <c r="Q53" s="43">
        <v>84</v>
      </c>
      <c r="R53" s="41">
        <v>7.8287037037037044E-2</v>
      </c>
      <c r="S53" s="35">
        <v>0</v>
      </c>
      <c r="T53" s="37">
        <v>81</v>
      </c>
      <c r="U53" s="44">
        <v>84</v>
      </c>
      <c r="V53" s="240">
        <v>7.7839351851851785E-3</v>
      </c>
      <c r="W53" s="38"/>
      <c r="X53" s="36">
        <v>20</v>
      </c>
      <c r="Y53" s="43">
        <v>84</v>
      </c>
      <c r="Z53" s="41">
        <v>7.8437500000000007E-2</v>
      </c>
      <c r="AA53" s="35">
        <v>0</v>
      </c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62</v>
      </c>
      <c r="C54" s="63" t="str">
        <f>VLOOKUP(B54,STARTOVKA,2,0)</f>
        <v>POL19970228</v>
      </c>
      <c r="D54" s="64" t="str">
        <f>VLOOKUP(B54,STARTOVKA,3,0)</f>
        <v>SKIBIŃSKI Krzysztof</v>
      </c>
      <c r="E54" s="65" t="str">
        <f>VLOOKUP(B54,STARTOVKA,4,0)</f>
        <v xml:space="preserve">DSR AUTHOR GÓRNIK WAŁBRZYCH </v>
      </c>
      <c r="F54" s="66" t="str">
        <f>VLOOKUP(B54,STARTOVKA,5,0)</f>
        <v>DLS161</v>
      </c>
      <c r="G54" s="67" t="str">
        <f>VLOOKUP(B54,STARTOVKA,6,0)</f>
        <v>JUNIOR*</v>
      </c>
      <c r="H54" s="67" t="str">
        <f>VLOOKUP(B54,STARTOVKA,7,0)</f>
        <v>GOR</v>
      </c>
      <c r="I54" s="199">
        <f>SUM(R54,V54,Z54,AD54)-SUM(S54,W54,AA54,AE54)+AF54</f>
        <v>0.1645085185185185</v>
      </c>
      <c r="J54" s="31">
        <f>I54-$I$12</f>
        <v>2.7229050925925702E-3</v>
      </c>
      <c r="K54" s="31"/>
      <c r="M54" s="69">
        <f>A54</f>
        <v>43</v>
      </c>
      <c r="P54" s="36">
        <v>43</v>
      </c>
      <c r="Q54" s="43">
        <v>62</v>
      </c>
      <c r="R54" s="41">
        <v>7.8287037037037044E-2</v>
      </c>
      <c r="S54" s="35">
        <v>0</v>
      </c>
      <c r="T54" s="37">
        <v>6</v>
      </c>
      <c r="U54" s="44">
        <v>62</v>
      </c>
      <c r="V54" s="240">
        <v>6.9274999999999823E-3</v>
      </c>
      <c r="W54" s="38"/>
      <c r="X54" s="36">
        <v>64</v>
      </c>
      <c r="Y54" s="43">
        <v>62</v>
      </c>
      <c r="Z54" s="41">
        <v>7.9293981481481479E-2</v>
      </c>
      <c r="AA54" s="35">
        <v>0</v>
      </c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183</v>
      </c>
      <c r="C55" s="63" t="str">
        <f>VLOOKUP(B55,STARTOVKA,2,0)</f>
        <v>AUT19961121</v>
      </c>
      <c r="D55" s="64" t="str">
        <f>VLOOKUP(B55,STARTOVKA,3,0)</f>
        <v>KROGER Klemens</v>
      </c>
      <c r="E55" s="65" t="str">
        <f>VLOOKUP(B55,STARTOVKA,4,0)</f>
        <v xml:space="preserve">LRV STEIERMARK </v>
      </c>
      <c r="F55" s="66">
        <f>VLOOKUP(B55,STARTOVKA,5,0)</f>
        <v>100828</v>
      </c>
      <c r="G55" s="67" t="str">
        <f>VLOOKUP(B55,STARTOVKA,6,0)</f>
        <v>JUNIOR</v>
      </c>
      <c r="H55" s="67" t="str">
        <f>VLOOKUP(B55,STARTOVKA,7,0)</f>
        <v>LRV</v>
      </c>
      <c r="I55" s="199">
        <f>SUM(R55,V55,Z55,AD55)-SUM(S55,W55,AA55,AE55)+AF55</f>
        <v>0.16460767361111109</v>
      </c>
      <c r="J55" s="31">
        <f>I55-$I$12</f>
        <v>2.8220601851851601E-3</v>
      </c>
      <c r="K55" s="31"/>
      <c r="M55" s="69">
        <f>A55</f>
        <v>44</v>
      </c>
      <c r="P55" s="36">
        <v>92</v>
      </c>
      <c r="Q55" s="43">
        <v>183</v>
      </c>
      <c r="R55" s="41">
        <v>7.8287037037037044E-2</v>
      </c>
      <c r="S55" s="35">
        <v>0</v>
      </c>
      <c r="T55" s="37">
        <v>38</v>
      </c>
      <c r="U55" s="44">
        <v>183</v>
      </c>
      <c r="V55" s="240">
        <v>7.3391550925925517E-3</v>
      </c>
      <c r="W55" s="38"/>
      <c r="X55" s="36">
        <v>43</v>
      </c>
      <c r="Y55" s="43">
        <v>183</v>
      </c>
      <c r="Z55" s="41">
        <v>7.8981481481481486E-2</v>
      </c>
      <c r="AA55" s="35">
        <v>0</v>
      </c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83</v>
      </c>
      <c r="C56" s="63" t="str">
        <f>VLOOKUP(B56,STARTOVKA,2,0)</f>
        <v>CZE19960724</v>
      </c>
      <c r="D56" s="64" t="str">
        <f>VLOOKUP(B56,STARTOVKA,3,0)</f>
        <v xml:space="preserve">BECHYNĚ Matěj </v>
      </c>
      <c r="E56" s="65" t="str">
        <f>VLOOKUP(B56,STARTOVKA,4,0)</f>
        <v>VZW TIELTSE RENNERSCLUB - JIELKER GELDHOF</v>
      </c>
      <c r="F56" s="66">
        <f>VLOOKUP(B56,STARTOVKA,5,0)</f>
        <v>14315</v>
      </c>
      <c r="G56" s="67" t="str">
        <f>VLOOKUP(B56,STARTOVKA,6,0)</f>
        <v>JUNIOR</v>
      </c>
      <c r="H56" s="67" t="str">
        <f>VLOOKUP(B56,STARTOVKA,7,0)</f>
        <v>KOV</v>
      </c>
      <c r="I56" s="199">
        <f>SUM(R56,V56,Z56,AD56)-SUM(S56,W56,AA56,AE56)+AF56</f>
        <v>0.16464631944444444</v>
      </c>
      <c r="J56" s="31">
        <f>I56-$I$12</f>
        <v>2.8607060185185107E-3</v>
      </c>
      <c r="K56" s="31"/>
      <c r="M56" s="69">
        <f>A56</f>
        <v>45</v>
      </c>
      <c r="P56" s="36">
        <v>11</v>
      </c>
      <c r="Q56" s="43">
        <v>83</v>
      </c>
      <c r="R56" s="41">
        <v>7.8287037037037044E-2</v>
      </c>
      <c r="S56" s="35">
        <v>0</v>
      </c>
      <c r="T56" s="37">
        <v>88</v>
      </c>
      <c r="U56" s="44">
        <v>83</v>
      </c>
      <c r="V56" s="240">
        <v>7.9217824074073878E-3</v>
      </c>
      <c r="W56" s="38"/>
      <c r="X56" s="36">
        <v>30</v>
      </c>
      <c r="Y56" s="43">
        <v>83</v>
      </c>
      <c r="Z56" s="41">
        <v>7.8437500000000007E-2</v>
      </c>
      <c r="AA56" s="35">
        <v>0</v>
      </c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94</v>
      </c>
      <c r="C57" s="63" t="str">
        <f>VLOOKUP(B57,STARTOVKA,2,0)</f>
        <v>CZE19970127</v>
      </c>
      <c r="D57" s="64" t="str">
        <f>VLOOKUP(B57,STARTOVKA,3,0)</f>
        <v xml:space="preserve">KOTOUČEK Matěj </v>
      </c>
      <c r="E57" s="65" t="str">
        <f>VLOOKUP(B57,STARTOVKA,4,0)</f>
        <v xml:space="preserve">TJ FAVORIT BRNO </v>
      </c>
      <c r="F57" s="66">
        <f>VLOOKUP(B57,STARTOVKA,5,0)</f>
        <v>9917</v>
      </c>
      <c r="G57" s="67" t="str">
        <f>VLOOKUP(B57,STARTOVKA,6,0)</f>
        <v>JUNIOR*</v>
      </c>
      <c r="H57" s="67" t="str">
        <f>VLOOKUP(B57,STARTOVKA,7,0)</f>
        <v>FAV</v>
      </c>
      <c r="I57" s="199">
        <f>SUM(R57,V57,Z57,AD57)-SUM(S57,W57,AA57,AE57)+AF57</f>
        <v>0.16476241898148147</v>
      </c>
      <c r="J57" s="31">
        <f>I57-$I$12</f>
        <v>2.976805555555545E-3</v>
      </c>
      <c r="K57" s="31"/>
      <c r="M57" s="69">
        <f>A57</f>
        <v>46</v>
      </c>
      <c r="P57" s="36">
        <v>50</v>
      </c>
      <c r="Q57" s="43">
        <v>94</v>
      </c>
      <c r="R57" s="41">
        <v>7.8287037037037044E-2</v>
      </c>
      <c r="S57" s="35">
        <v>0</v>
      </c>
      <c r="T57" s="37">
        <v>26</v>
      </c>
      <c r="U57" s="44">
        <v>94</v>
      </c>
      <c r="V57" s="240">
        <v>7.1814004629629363E-3</v>
      </c>
      <c r="W57" s="38"/>
      <c r="X57" s="36">
        <v>63</v>
      </c>
      <c r="Y57" s="43">
        <v>94</v>
      </c>
      <c r="Z57" s="41">
        <v>7.9293981481481479E-2</v>
      </c>
      <c r="AA57" s="35">
        <v>0</v>
      </c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44</v>
      </c>
      <c r="C58" s="63" t="str">
        <f>VLOOKUP(B58,STARTOVKA,2,0)</f>
        <v>CZE19960213</v>
      </c>
      <c r="D58" s="64" t="str">
        <f>VLOOKUP(B58,STARTOVKA,3,0)</f>
        <v xml:space="preserve">JUREČKA Jiří </v>
      </c>
      <c r="E58" s="65" t="str">
        <f>VLOOKUP(B58,STARTOVKA,4,0)</f>
        <v>KC KOOPERATIVA SG JABLONEC N.N</v>
      </c>
      <c r="F58" s="66">
        <f>VLOOKUP(B58,STARTOVKA,5,0)</f>
        <v>5366</v>
      </c>
      <c r="G58" s="67" t="str">
        <f>VLOOKUP(B58,STARTOVKA,6,0)</f>
        <v>JUNIOR</v>
      </c>
      <c r="H58" s="67" t="str">
        <f>VLOOKUP(B58,STARTOVKA,7,0)</f>
        <v>KOO</v>
      </c>
      <c r="I58" s="199">
        <f>SUM(R58,V58,Z58,AD58)-SUM(S58,W58,AA58,AE58)+AF58</f>
        <v>0.16499255787037037</v>
      </c>
      <c r="J58" s="31">
        <f>I58-$I$12</f>
        <v>3.2069444444444428E-3</v>
      </c>
      <c r="K58" s="31"/>
      <c r="M58" s="69">
        <f>A58</f>
        <v>47</v>
      </c>
      <c r="P58" s="36">
        <v>87</v>
      </c>
      <c r="Q58" s="43">
        <v>44</v>
      </c>
      <c r="R58" s="41">
        <v>7.8287037037037044E-2</v>
      </c>
      <c r="S58" s="35">
        <v>0</v>
      </c>
      <c r="T58" s="37">
        <v>44</v>
      </c>
      <c r="U58" s="44">
        <v>44</v>
      </c>
      <c r="V58" s="240">
        <v>7.4115393518518341E-3</v>
      </c>
      <c r="W58" s="38"/>
      <c r="X58" s="36">
        <v>57</v>
      </c>
      <c r="Y58" s="43">
        <v>44</v>
      </c>
      <c r="Z58" s="41">
        <v>7.9293981481481479E-2</v>
      </c>
      <c r="AA58" s="35">
        <v>0</v>
      </c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22</v>
      </c>
      <c r="C59" s="63" t="str">
        <f>VLOOKUP(B59,STARTOVKA,2,0)</f>
        <v>GER19980505</v>
      </c>
      <c r="D59" s="64" t="str">
        <f>VLOOKUP(B59,STARTOVKA,3,0)</f>
        <v>HAUPT Tarik</v>
      </c>
      <c r="E59" s="65" t="str">
        <f>VLOOKUP(B59,STARTOVKA,4,0)</f>
        <v>RG BERLIN</v>
      </c>
      <c r="F59" s="66" t="str">
        <f>VLOOKUP(B59,STARTOVKA,5,0)</f>
        <v>BER 032308</v>
      </c>
      <c r="G59" s="67" t="str">
        <f>VLOOKUP(B59,STARTOVKA,6,0)</f>
        <v>CADET</v>
      </c>
      <c r="H59" s="67" t="str">
        <f>VLOOKUP(B59,STARTOVKA,7,0)</f>
        <v>RGB</v>
      </c>
      <c r="I59" s="199">
        <f>SUM(R59,V59,Z59,AD59)-SUM(S59,W59,AA59,AE59)+AF59</f>
        <v>0.16502673611111116</v>
      </c>
      <c r="J59" s="31">
        <f>I59-$I$12</f>
        <v>3.2411226851852271E-3</v>
      </c>
      <c r="K59" s="31"/>
      <c r="M59" s="69">
        <f>A59</f>
        <v>48</v>
      </c>
      <c r="P59" s="36">
        <v>29</v>
      </c>
      <c r="Q59" s="43">
        <v>22</v>
      </c>
      <c r="R59" s="41">
        <v>7.8287037037037044E-2</v>
      </c>
      <c r="S59" s="35">
        <v>0</v>
      </c>
      <c r="T59" s="37">
        <v>49</v>
      </c>
      <c r="U59" s="44">
        <v>22</v>
      </c>
      <c r="V59" s="240">
        <v>7.4457175925926253E-3</v>
      </c>
      <c r="W59" s="38"/>
      <c r="X59" s="36">
        <v>56</v>
      </c>
      <c r="Y59" s="43">
        <v>22</v>
      </c>
      <c r="Z59" s="41">
        <v>7.9293981481481479E-2</v>
      </c>
      <c r="AA59" s="35">
        <v>0</v>
      </c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147</v>
      </c>
      <c r="C60" s="63" t="str">
        <f>VLOOKUP(B60,STARTOVKA,2,0)</f>
        <v>CZE19960618</v>
      </c>
      <c r="D60" s="64" t="str">
        <f>VLOOKUP(B60,STARTOVKA,3,0)</f>
        <v xml:space="preserve">PETRUŠ Jiří </v>
      </c>
      <c r="E60" s="65" t="str">
        <f>VLOOKUP(B60,STARTOVKA,4,0)</f>
        <v xml:space="preserve">MAPEI CYKLO KAŇKOVSKÝ </v>
      </c>
      <c r="F60" s="66">
        <f>VLOOKUP(B60,STARTOVKA,5,0)</f>
        <v>12841</v>
      </c>
      <c r="G60" s="67" t="str">
        <f>VLOOKUP(B60,STARTOVKA,6,0)</f>
        <v>JUNIOR</v>
      </c>
      <c r="H60" s="67" t="str">
        <f>VLOOKUP(B60,STARTOVKA,7,0)</f>
        <v>MAP</v>
      </c>
      <c r="I60" s="199">
        <f>SUM(R60,V60,Z60,AD60)-SUM(S60,W60,AA60,AE60)+AF60</f>
        <v>0.16512655092592587</v>
      </c>
      <c r="J60" s="31">
        <f>I60-$I$12</f>
        <v>3.3409374999999464E-3</v>
      </c>
      <c r="K60" s="31"/>
      <c r="M60" s="69">
        <f>A60</f>
        <v>49</v>
      </c>
      <c r="P60" s="36">
        <v>17</v>
      </c>
      <c r="Q60" s="43">
        <v>147</v>
      </c>
      <c r="R60" s="41">
        <v>7.8287037037037044E-2</v>
      </c>
      <c r="S60" s="35">
        <v>0</v>
      </c>
      <c r="T60" s="37">
        <v>60</v>
      </c>
      <c r="U60" s="44">
        <v>147</v>
      </c>
      <c r="V60" s="240">
        <v>7.5455324074073515E-3</v>
      </c>
      <c r="W60" s="38"/>
      <c r="X60" s="36">
        <v>61</v>
      </c>
      <c r="Y60" s="43">
        <v>147</v>
      </c>
      <c r="Z60" s="41">
        <v>7.9293981481481479E-2</v>
      </c>
      <c r="AA60" s="35">
        <v>0</v>
      </c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134</v>
      </c>
      <c r="C61" s="63" t="str">
        <f>VLOOKUP(B61,STARTOVKA,2,0)</f>
        <v>AUT19960910</v>
      </c>
      <c r="D61" s="64" t="str">
        <f>VLOOKUP(B61,STARTOVKA,3,0)</f>
        <v>HUBER Marcel</v>
      </c>
      <c r="E61" s="65" t="str">
        <f>VLOOKUP(B61,STARTOVKA,4,0)</f>
        <v>RC ARBÖ WELS GOURMETFEIN</v>
      </c>
      <c r="F61" s="66">
        <f>VLOOKUP(B61,STARTOVKA,5,0)</f>
        <v>100090</v>
      </c>
      <c r="G61" s="67" t="str">
        <f>VLOOKUP(B61,STARTOVKA,6,0)</f>
        <v>JUNIOR</v>
      </c>
      <c r="H61" s="67" t="str">
        <f>VLOOKUP(B61,STARTOVKA,7,0)</f>
        <v>RCA</v>
      </c>
      <c r="I61" s="199">
        <f>SUM(R61,V61,Z61,AD61)-SUM(S61,W61,AA61,AE61)+AF61</f>
        <v>0.16516924768518515</v>
      </c>
      <c r="J61" s="31">
        <f>I61-$I$12</f>
        <v>3.3836342592592217E-3</v>
      </c>
      <c r="K61" s="31"/>
      <c r="M61" s="69">
        <f>A61</f>
        <v>50</v>
      </c>
      <c r="P61" s="36">
        <v>46</v>
      </c>
      <c r="Q61" s="43">
        <v>134</v>
      </c>
      <c r="R61" s="41">
        <v>7.8287037037037044E-2</v>
      </c>
      <c r="S61" s="35">
        <v>0</v>
      </c>
      <c r="T61" s="37">
        <v>34</v>
      </c>
      <c r="U61" s="44">
        <v>134</v>
      </c>
      <c r="V61" s="240">
        <v>7.2757291666666127E-3</v>
      </c>
      <c r="W61" s="38"/>
      <c r="X61" s="36">
        <v>65</v>
      </c>
      <c r="Y61" s="43">
        <v>134</v>
      </c>
      <c r="Z61" s="41">
        <v>7.9606481481481486E-2</v>
      </c>
      <c r="AA61" s="35">
        <v>0</v>
      </c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12</v>
      </c>
      <c r="C62" s="63" t="str">
        <f>VLOOKUP(B62,STARTOVKA,2,0)</f>
        <v>GER19960405</v>
      </c>
      <c r="D62" s="64" t="str">
        <f>VLOOKUP(B62,STARTOVKA,3,0)</f>
        <v>WITTE Reinhard</v>
      </c>
      <c r="E62" s="65" t="str">
        <f>VLOOKUP(B62,STARTOVKA,4,0)</f>
        <v>JUNIOREN SCHWALBE TEAM SACHSEN</v>
      </c>
      <c r="F62" s="66" t="str">
        <f>VLOOKUP(B62,STARTOVKA,5,0)</f>
        <v>SAC 141671</v>
      </c>
      <c r="G62" s="67" t="str">
        <f>VLOOKUP(B62,STARTOVKA,6,0)</f>
        <v>JUNIOR</v>
      </c>
      <c r="H62" s="67" t="str">
        <f>VLOOKUP(B62,STARTOVKA,7,0)</f>
        <v>SCW</v>
      </c>
      <c r="I62" s="199">
        <f>SUM(R62,V62,Z62,AD62)-SUM(S62,W62,AA62,AE62)+AF62</f>
        <v>0.16517560185185187</v>
      </c>
      <c r="J62" s="31">
        <f>I62-$I$12</f>
        <v>3.3899884259259438E-3</v>
      </c>
      <c r="K62" s="31"/>
      <c r="M62" s="69">
        <f>A62</f>
        <v>51</v>
      </c>
      <c r="P62" s="36">
        <v>42</v>
      </c>
      <c r="Q62" s="43">
        <v>12</v>
      </c>
      <c r="R62" s="41">
        <v>7.8287037037037044E-2</v>
      </c>
      <c r="S62" s="35">
        <v>1.1574074074074073E-5</v>
      </c>
      <c r="T62" s="37">
        <v>63</v>
      </c>
      <c r="U62" s="44">
        <v>12</v>
      </c>
      <c r="V62" s="240">
        <v>7.6061574074074156E-3</v>
      </c>
      <c r="W62" s="38"/>
      <c r="X62" s="36">
        <v>59</v>
      </c>
      <c r="Y62" s="43">
        <v>12</v>
      </c>
      <c r="Z62" s="41">
        <v>7.9293981481481479E-2</v>
      </c>
      <c r="AA62" s="35">
        <v>0</v>
      </c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51</v>
      </c>
      <c r="C63" s="63" t="str">
        <f>VLOOKUP(B63,STARTOVKA,2,0)</f>
        <v>CZE19980726</v>
      </c>
      <c r="D63" s="64" t="str">
        <f>VLOOKUP(B63,STARTOVKA,3,0)</f>
        <v xml:space="preserve">POKORNÝ Petr </v>
      </c>
      <c r="E63" s="65" t="str">
        <f>VLOOKUP(B63,STARTOVKA,4,0)</f>
        <v xml:space="preserve">ACK STARÁ VES NAD ONDŘEJNICÍ </v>
      </c>
      <c r="F63" s="66">
        <f>VLOOKUP(B63,STARTOVKA,5,0)</f>
        <v>9870</v>
      </c>
      <c r="G63" s="67" t="str">
        <f>VLOOKUP(B63,STARTOVKA,6,0)</f>
        <v>CADET</v>
      </c>
      <c r="H63" s="67" t="str">
        <f>VLOOKUP(B63,STARTOVKA,7,0)</f>
        <v>GLI</v>
      </c>
      <c r="I63" s="199">
        <f>SUM(R63,V63,Z63,AD63)-SUM(S63,W63,AA63,AE63)+AF63</f>
        <v>0.16530175925925925</v>
      </c>
      <c r="J63" s="31">
        <f>I63-$I$12</f>
        <v>3.5161458333333173E-3</v>
      </c>
      <c r="K63" s="31"/>
      <c r="M63" s="69">
        <f>A63</f>
        <v>52</v>
      </c>
      <c r="P63" s="36">
        <v>61</v>
      </c>
      <c r="Q63" s="43">
        <v>51</v>
      </c>
      <c r="R63" s="41">
        <v>7.8287037037037044E-2</v>
      </c>
      <c r="S63" s="35">
        <v>0</v>
      </c>
      <c r="T63" s="37">
        <v>74</v>
      </c>
      <c r="U63" s="44">
        <v>51</v>
      </c>
      <c r="V63" s="240">
        <v>7.7207407407407294E-3</v>
      </c>
      <c r="W63" s="38"/>
      <c r="X63" s="36">
        <v>54</v>
      </c>
      <c r="Y63" s="43">
        <v>51</v>
      </c>
      <c r="Z63" s="41">
        <v>7.9293981481481479E-2</v>
      </c>
      <c r="AA63" s="35">
        <v>0</v>
      </c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71</v>
      </c>
      <c r="C64" s="63" t="str">
        <f>VLOOKUP(B64,STARTOVKA,2,0)</f>
        <v>SVK19970730</v>
      </c>
      <c r="D64" s="64" t="str">
        <f>VLOOKUP(B64,STARTOVKA,3,0)</f>
        <v>MEŇUŠ Tomáš</v>
      </c>
      <c r="E64" s="65" t="str">
        <f>VLOOKUP(B64,STARTOVKA,4,0)</f>
        <v>CYCLING ACADEMY BRATISLAVA</v>
      </c>
      <c r="F64" s="66">
        <f>VLOOKUP(B64,STARTOVKA,5,0)</f>
        <v>6668</v>
      </c>
      <c r="G64" s="67" t="str">
        <f>VLOOKUP(B64,STARTOVKA,6,0)</f>
        <v>JUNIOR*</v>
      </c>
      <c r="H64" s="67" t="str">
        <f>VLOOKUP(B64,STARTOVKA,7,0)</f>
        <v>SLA</v>
      </c>
      <c r="I64" s="199">
        <f>SUM(R64,V64,Z64,AD64)-SUM(S64,W64,AA64,AE64)+AF64</f>
        <v>0.16531164351851851</v>
      </c>
      <c r="J64" s="31">
        <f>I64-$I$12</f>
        <v>3.5260300925925858E-3</v>
      </c>
      <c r="K64" s="31"/>
      <c r="M64" s="69">
        <f>A64</f>
        <v>53</v>
      </c>
      <c r="P64" s="36">
        <v>103</v>
      </c>
      <c r="Q64" s="43">
        <v>71</v>
      </c>
      <c r="R64" s="41">
        <v>7.8321759259259258E-2</v>
      </c>
      <c r="S64" s="35">
        <v>0</v>
      </c>
      <c r="T64" s="37">
        <v>70</v>
      </c>
      <c r="U64" s="44">
        <v>71</v>
      </c>
      <c r="V64" s="240">
        <v>7.6959027777777763E-3</v>
      </c>
      <c r="W64" s="38"/>
      <c r="X64" s="36">
        <v>60</v>
      </c>
      <c r="Y64" s="43">
        <v>71</v>
      </c>
      <c r="Z64" s="41">
        <v>7.9293981481481479E-2</v>
      </c>
      <c r="AA64" s="35">
        <v>0</v>
      </c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173</v>
      </c>
      <c r="C65" s="63" t="str">
        <f>VLOOKUP(B65,STARTOVKA,2,0)</f>
        <v>SVK19970117</v>
      </c>
      <c r="D65" s="64" t="str">
        <f>VLOOKUP(B65,STARTOVKA,3,0)</f>
        <v>PORUBAN Dominik</v>
      </c>
      <c r="E65" s="65" t="str">
        <f>VLOOKUP(B65,STARTOVKA,4,0)</f>
        <v xml:space="preserve">SLOVAK CYCLING FEDERATION </v>
      </c>
      <c r="F65" s="66">
        <f>VLOOKUP(B65,STARTOVKA,5,0)</f>
        <v>6477</v>
      </c>
      <c r="G65" s="67" t="str">
        <f>VLOOKUP(B65,STARTOVKA,6,0)</f>
        <v>JUNIOR*</v>
      </c>
      <c r="H65" s="67" t="str">
        <f>VLOOKUP(B65,STARTOVKA,7,0)</f>
        <v>SVK</v>
      </c>
      <c r="I65" s="199">
        <f>SUM(R65,V65,Z65,AD65)-SUM(S65,W65,AA65,AE65)+AF65</f>
        <v>0.16533255787037038</v>
      </c>
      <c r="J65" s="31">
        <f>I65-$I$12</f>
        <v>3.5469444444444498E-3</v>
      </c>
      <c r="K65" s="31"/>
      <c r="M65" s="69">
        <f>A65</f>
        <v>54</v>
      </c>
      <c r="P65" s="36">
        <v>25</v>
      </c>
      <c r="Q65" s="43">
        <v>173</v>
      </c>
      <c r="R65" s="41">
        <v>7.8287037037037044E-2</v>
      </c>
      <c r="S65" s="35">
        <v>0</v>
      </c>
      <c r="T65" s="37">
        <v>77</v>
      </c>
      <c r="U65" s="44">
        <v>173</v>
      </c>
      <c r="V65" s="240">
        <v>7.7515393518518549E-3</v>
      </c>
      <c r="W65" s="38"/>
      <c r="X65" s="36">
        <v>52</v>
      </c>
      <c r="Y65" s="43">
        <v>173</v>
      </c>
      <c r="Z65" s="41">
        <v>7.9293981481481479E-2</v>
      </c>
      <c r="AA65" s="35">
        <v>0</v>
      </c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125</v>
      </c>
      <c r="C66" s="63" t="str">
        <f>VLOOKUP(B66,STARTOVKA,2,0)</f>
        <v>CZE19970118</v>
      </c>
      <c r="D66" s="64" t="str">
        <f>VLOOKUP(B66,STARTOVKA,3,0)</f>
        <v>MAYER Daniel</v>
      </c>
      <c r="E66" s="65" t="str">
        <f>VLOOKUP(B66,STARTOVKA,4,0)</f>
        <v>KC HLINSKO</v>
      </c>
      <c r="F66" s="66">
        <f>VLOOKUP(B66,STARTOVKA,5,0)</f>
        <v>13274</v>
      </c>
      <c r="G66" s="67" t="str">
        <f>VLOOKUP(B66,STARTOVKA,6,0)</f>
        <v>JUNIOR*</v>
      </c>
      <c r="H66" s="67" t="str">
        <f>VLOOKUP(B66,STARTOVKA,7,0)</f>
        <v>SKC</v>
      </c>
      <c r="I66" s="199">
        <f>SUM(R66,V66,Z66,AD66)-SUM(S66,W66,AA66,AE66)+AF66</f>
        <v>0.16533466435185187</v>
      </c>
      <c r="J66" s="31">
        <f>I66-$I$12</f>
        <v>3.5490509259259451E-3</v>
      </c>
      <c r="K66" s="31"/>
      <c r="M66" s="69">
        <f>A66</f>
        <v>55</v>
      </c>
      <c r="P66" s="36">
        <v>75</v>
      </c>
      <c r="Q66" s="43">
        <v>125</v>
      </c>
      <c r="R66" s="41">
        <v>7.8287037037037044E-2</v>
      </c>
      <c r="S66" s="35">
        <v>0</v>
      </c>
      <c r="T66" s="37">
        <v>78</v>
      </c>
      <c r="U66" s="44">
        <v>125</v>
      </c>
      <c r="V66" s="240">
        <v>7.7536458333333468E-3</v>
      </c>
      <c r="W66" s="38"/>
      <c r="X66" s="36">
        <v>47</v>
      </c>
      <c r="Y66" s="43">
        <v>125</v>
      </c>
      <c r="Z66" s="41">
        <v>7.9293981481481479E-2</v>
      </c>
      <c r="AA66" s="35">
        <v>0</v>
      </c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17</v>
      </c>
      <c r="C67" s="63" t="str">
        <f>VLOOKUP(B67,STARTOVKA,2,0)</f>
        <v>GER19980912</v>
      </c>
      <c r="D67" s="64" t="str">
        <f>VLOOKUP(B67,STARTOVKA,3,0)</f>
        <v>CLAUSS Marc</v>
      </c>
      <c r="E67" s="65" t="str">
        <f>VLOOKUP(B67,STARTOVKA,4,0)</f>
        <v>JUNIOREN SCHWALBE TEAM SACHSEN</v>
      </c>
      <c r="F67" s="66" t="str">
        <f>VLOOKUP(B67,STARTOVKA,5,0)</f>
        <v>SAC 135276</v>
      </c>
      <c r="G67" s="67" t="str">
        <f>VLOOKUP(B67,STARTOVKA,6,0)</f>
        <v>CADET</v>
      </c>
      <c r="H67" s="67" t="str">
        <f>VLOOKUP(B67,STARTOVKA,7,0)</f>
        <v>SCW</v>
      </c>
      <c r="I67" s="199">
        <f>SUM(R67,V67,Z67,AD67)-SUM(S67,W67,AA67,AE67)+AF67</f>
        <v>0.16534887731481476</v>
      </c>
      <c r="J67" s="31">
        <f>I67-$I$12</f>
        <v>3.5632638888888346E-3</v>
      </c>
      <c r="K67" s="31"/>
      <c r="M67" s="69">
        <f>A67</f>
        <v>56</v>
      </c>
      <c r="P67" s="36">
        <v>36</v>
      </c>
      <c r="Q67" s="43">
        <v>17</v>
      </c>
      <c r="R67" s="41">
        <v>7.8287037037037044E-2</v>
      </c>
      <c r="S67" s="35">
        <v>0</v>
      </c>
      <c r="T67" s="37">
        <v>79</v>
      </c>
      <c r="U67" s="44">
        <v>17</v>
      </c>
      <c r="V67" s="240">
        <v>7.7678587962962467E-3</v>
      </c>
      <c r="W67" s="38"/>
      <c r="X67" s="36">
        <v>50</v>
      </c>
      <c r="Y67" s="43">
        <v>17</v>
      </c>
      <c r="Z67" s="41">
        <v>7.9293981481481479E-2</v>
      </c>
      <c r="AA67" s="35">
        <v>0</v>
      </c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136</v>
      </c>
      <c r="C68" s="63" t="str">
        <f>VLOOKUP(B68,STARTOVKA,2,0)</f>
        <v>AUT19970822</v>
      </c>
      <c r="D68" s="64" t="str">
        <f>VLOOKUP(B68,STARTOVKA,3,0)</f>
        <v>STEINDLER Julian</v>
      </c>
      <c r="E68" s="65" t="str">
        <f>VLOOKUP(B68,STARTOVKA,4,0)</f>
        <v>RC ARBÖ WELS GOURMETFEIN</v>
      </c>
      <c r="F68" s="66">
        <f>VLOOKUP(B68,STARTOVKA,5,0)</f>
        <v>100089</v>
      </c>
      <c r="G68" s="67" t="str">
        <f>VLOOKUP(B68,STARTOVKA,6,0)</f>
        <v>JUNIOR*</v>
      </c>
      <c r="H68" s="67" t="str">
        <f>VLOOKUP(B68,STARTOVKA,7,0)</f>
        <v>RCA</v>
      </c>
      <c r="I68" s="199">
        <f>SUM(R68,V68,Z68,AD68)-SUM(S68,W68,AA68,AE68)+AF68</f>
        <v>0.16536241898148152</v>
      </c>
      <c r="J68" s="31">
        <f>I68-$I$12</f>
        <v>3.57680555555559E-3</v>
      </c>
      <c r="K68" s="31"/>
      <c r="M68" s="69">
        <f>A68</f>
        <v>57</v>
      </c>
      <c r="P68" s="36">
        <v>51</v>
      </c>
      <c r="Q68" s="43">
        <v>136</v>
      </c>
      <c r="R68" s="41">
        <v>7.8287037037037044E-2</v>
      </c>
      <c r="S68" s="35">
        <v>0</v>
      </c>
      <c r="T68" s="37">
        <v>80</v>
      </c>
      <c r="U68" s="44">
        <v>136</v>
      </c>
      <c r="V68" s="240">
        <v>7.7814004629629951E-3</v>
      </c>
      <c r="W68" s="38"/>
      <c r="X68" s="36">
        <v>62</v>
      </c>
      <c r="Y68" s="43">
        <v>136</v>
      </c>
      <c r="Z68" s="41">
        <v>7.9293981481481479E-2</v>
      </c>
      <c r="AA68" s="35">
        <v>0</v>
      </c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122</v>
      </c>
      <c r="C69" s="63" t="str">
        <f>VLOOKUP(B69,STARTOVKA,2,0)</f>
        <v>CZE19971201</v>
      </c>
      <c r="D69" s="64" t="str">
        <f>VLOOKUP(B69,STARTOVKA,3,0)</f>
        <v xml:space="preserve">CHYTIL Daniel </v>
      </c>
      <c r="E69" s="65" t="str">
        <f>VLOOKUP(B69,STARTOVKA,4,0)</f>
        <v xml:space="preserve">SKC TUFO PROSTĚJOV </v>
      </c>
      <c r="F69" s="66">
        <f>VLOOKUP(B69,STARTOVKA,5,0)</f>
        <v>13150</v>
      </c>
      <c r="G69" s="67" t="str">
        <f>VLOOKUP(B69,STARTOVKA,6,0)</f>
        <v>JUNIOR*</v>
      </c>
      <c r="H69" s="67" t="str">
        <f>VLOOKUP(B69,STARTOVKA,7,0)</f>
        <v>SKC</v>
      </c>
      <c r="I69" s="199">
        <f>SUM(R69,V69,Z69,AD69)-SUM(S69,W69,AA69,AE69)+AF69</f>
        <v>0.16536728009259261</v>
      </c>
      <c r="J69" s="31">
        <f>I69-$I$12</f>
        <v>3.5816666666666774E-3</v>
      </c>
      <c r="K69" s="31"/>
      <c r="M69" s="69">
        <f>A69</f>
        <v>58</v>
      </c>
      <c r="P69" s="36">
        <v>106</v>
      </c>
      <c r="Q69" s="43">
        <v>122</v>
      </c>
      <c r="R69" s="41">
        <v>7.8831018518518522E-2</v>
      </c>
      <c r="S69" s="35">
        <v>0</v>
      </c>
      <c r="T69" s="37">
        <v>52</v>
      </c>
      <c r="U69" s="44">
        <v>122</v>
      </c>
      <c r="V69" s="240">
        <v>7.4737615740740702E-3</v>
      </c>
      <c r="W69" s="38"/>
      <c r="X69" s="36">
        <v>45</v>
      </c>
      <c r="Y69" s="43">
        <v>122</v>
      </c>
      <c r="Z69" s="41">
        <v>7.9062499999999994E-2</v>
      </c>
      <c r="AA69" s="35">
        <v>0</v>
      </c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7</v>
      </c>
      <c r="C70" s="63" t="str">
        <f>VLOOKUP(B70,STARTOVKA,2,0)</f>
        <v>GER19970419</v>
      </c>
      <c r="D70" s="64" t="str">
        <f>VLOOKUP(B70,STARTOVKA,3,0)</f>
        <v>BURCHARDT Karl</v>
      </c>
      <c r="E70" s="65" t="str">
        <f>VLOOKUP(B70,STARTOVKA,4,0)</f>
        <v>RSC TURBINE ERFURT</v>
      </c>
      <c r="F70" s="66" t="str">
        <f>VLOOKUP(B70,STARTOVKA,5,0)</f>
        <v>THÜ173418</v>
      </c>
      <c r="G70" s="67" t="str">
        <f>VLOOKUP(B70,STARTOVKA,6,0)</f>
        <v>JUNIOR*</v>
      </c>
      <c r="H70" s="67" t="str">
        <f>VLOOKUP(B70,STARTOVKA,7,0)</f>
        <v>TUR</v>
      </c>
      <c r="I70" s="199">
        <f>SUM(R70,V70,Z70,AD70)-SUM(S70,W70,AA70,AE70)+AF70</f>
        <v>0.16546982638888894</v>
      </c>
      <c r="J70" s="31">
        <f>I70-$I$12</f>
        <v>3.6842129629630072E-3</v>
      </c>
      <c r="K70" s="31"/>
      <c r="M70" s="69">
        <f>A70</f>
        <v>59</v>
      </c>
      <c r="P70" s="36">
        <v>14</v>
      </c>
      <c r="Q70" s="43">
        <v>7</v>
      </c>
      <c r="R70" s="41">
        <v>7.8287037037037044E-2</v>
      </c>
      <c r="S70" s="35">
        <v>0</v>
      </c>
      <c r="T70" s="37">
        <v>9</v>
      </c>
      <c r="U70" s="44">
        <v>7</v>
      </c>
      <c r="V70" s="240">
        <v>6.9744560185185517E-3</v>
      </c>
      <c r="W70" s="38"/>
      <c r="X70" s="36">
        <v>73</v>
      </c>
      <c r="Y70" s="43">
        <v>7</v>
      </c>
      <c r="Z70" s="41">
        <v>8.020833333333334E-2</v>
      </c>
      <c r="AA70" s="35">
        <v>0</v>
      </c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18</v>
      </c>
      <c r="C71" s="63" t="str">
        <f>VLOOKUP(B71,STARTOVKA,2,0)</f>
        <v>GER19980906</v>
      </c>
      <c r="D71" s="64" t="str">
        <f>VLOOKUP(B71,STARTOVKA,3,0)</f>
        <v>ZSCHOCKE Maximilian</v>
      </c>
      <c r="E71" s="65" t="str">
        <f>VLOOKUP(B71,STARTOVKA,4,0)</f>
        <v>JUNIOREN SCHWALBE TEAM SACHSEN</v>
      </c>
      <c r="F71" s="66" t="str">
        <f>VLOOKUP(B71,STARTOVKA,5,0)</f>
        <v>SAC 135079</v>
      </c>
      <c r="G71" s="67" t="str">
        <f>VLOOKUP(B71,STARTOVKA,6,0)</f>
        <v>CADET</v>
      </c>
      <c r="H71" s="67" t="str">
        <f>VLOOKUP(B71,STARTOVKA,7,0)</f>
        <v>SCW</v>
      </c>
      <c r="I71" s="199">
        <f>SUM(R71,V71,Z71,AD71)-SUM(S71,W71,AA71,AE71)+AF71</f>
        <v>0.16549249999999999</v>
      </c>
      <c r="J71" s="31">
        <f>I71-$I$12</f>
        <v>3.7068865740740586E-3</v>
      </c>
      <c r="K71" s="31"/>
      <c r="M71" s="69">
        <f>A71</f>
        <v>60</v>
      </c>
      <c r="P71" s="36">
        <v>57</v>
      </c>
      <c r="Q71" s="43">
        <v>18</v>
      </c>
      <c r="R71" s="41">
        <v>7.8287037037037044E-2</v>
      </c>
      <c r="S71" s="35">
        <v>0</v>
      </c>
      <c r="T71" s="37">
        <v>87</v>
      </c>
      <c r="U71" s="44">
        <v>18</v>
      </c>
      <c r="V71" s="240">
        <v>7.9114814814814499E-3</v>
      </c>
      <c r="W71" s="38"/>
      <c r="X71" s="36">
        <v>51</v>
      </c>
      <c r="Y71" s="43">
        <v>18</v>
      </c>
      <c r="Z71" s="41">
        <v>7.9293981481481479E-2</v>
      </c>
      <c r="AA71" s="35">
        <v>0</v>
      </c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16</v>
      </c>
      <c r="C72" s="63" t="str">
        <f>VLOOKUP(B72,STARTOVKA,2,0)</f>
        <v>GER19981217</v>
      </c>
      <c r="D72" s="64" t="str">
        <f>VLOOKUP(B72,STARTOVKA,3,0)</f>
        <v>ZÖTTLER Jacob</v>
      </c>
      <c r="E72" s="65" t="str">
        <f>VLOOKUP(B72,STARTOVKA,4,0)</f>
        <v>JUNIOREN SCHWALBE TEAM SACHSEN</v>
      </c>
      <c r="F72" s="66" t="str">
        <f>VLOOKUP(B72,STARTOVKA,5,0)</f>
        <v>SAC 135443</v>
      </c>
      <c r="G72" s="67" t="str">
        <f>VLOOKUP(B72,STARTOVKA,6,0)</f>
        <v>CADET</v>
      </c>
      <c r="H72" s="67" t="str">
        <f>VLOOKUP(B72,STARTOVKA,7,0)</f>
        <v>SCW</v>
      </c>
      <c r="I72" s="199">
        <f>SUM(R72,V72,Z72,AD72)-SUM(S72,W72,AA72,AE72)+AF72</f>
        <v>0.16549483796296294</v>
      </c>
      <c r="J72" s="31">
        <f>I72-$I$12</f>
        <v>3.7092245370370092E-3</v>
      </c>
      <c r="K72" s="31"/>
      <c r="M72" s="69">
        <f>A72</f>
        <v>61</v>
      </c>
      <c r="P72" s="36">
        <v>101</v>
      </c>
      <c r="Q72" s="43">
        <v>16</v>
      </c>
      <c r="R72" s="41">
        <v>7.8321759259259258E-2</v>
      </c>
      <c r="S72" s="35">
        <v>0</v>
      </c>
      <c r="T72" s="37">
        <v>84</v>
      </c>
      <c r="U72" s="44">
        <v>16</v>
      </c>
      <c r="V72" s="240">
        <v>7.8790972222222179E-3</v>
      </c>
      <c r="W72" s="38"/>
      <c r="X72" s="36">
        <v>58</v>
      </c>
      <c r="Y72" s="43">
        <v>16</v>
      </c>
      <c r="Z72" s="41">
        <v>7.9293981481481479E-2</v>
      </c>
      <c r="AA72" s="35">
        <v>0</v>
      </c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142</v>
      </c>
      <c r="C73" s="63" t="str">
        <f>VLOOKUP(B73,STARTOVKA,2,0)</f>
        <v>CZE19971022</v>
      </c>
      <c r="D73" s="64" t="str">
        <f>VLOOKUP(B73,STARTOVKA,3,0)</f>
        <v xml:space="preserve">KLEVETA Jakub </v>
      </c>
      <c r="E73" s="65" t="str">
        <f>VLOOKUP(B73,STARTOVKA,4,0)</f>
        <v xml:space="preserve">MAPEI CYKLO KAŇKOVSKÝ </v>
      </c>
      <c r="F73" s="66">
        <f>VLOOKUP(B73,STARTOVKA,5,0)</f>
        <v>10284</v>
      </c>
      <c r="G73" s="67" t="str">
        <f>VLOOKUP(B73,STARTOVKA,6,0)</f>
        <v>JUNIOR*</v>
      </c>
      <c r="H73" s="67" t="str">
        <f>VLOOKUP(B73,STARTOVKA,7,0)</f>
        <v>MAP</v>
      </c>
      <c r="I73" s="199">
        <f>SUM(R73,V73,Z73,AD73)-SUM(S73,W73,AA73,AE73)+AF73</f>
        <v>0.16556327546296301</v>
      </c>
      <c r="J73" s="31">
        <f>I73-$I$12</f>
        <v>3.7776620370370828E-3</v>
      </c>
      <c r="K73" s="31"/>
      <c r="M73" s="69">
        <f>A73</f>
        <v>62</v>
      </c>
      <c r="P73" s="36">
        <v>79</v>
      </c>
      <c r="Q73" s="43">
        <v>142</v>
      </c>
      <c r="R73" s="41">
        <v>7.8287037037037044E-2</v>
      </c>
      <c r="S73" s="35">
        <v>0</v>
      </c>
      <c r="T73" s="37">
        <v>114</v>
      </c>
      <c r="U73" s="44">
        <v>142</v>
      </c>
      <c r="V73" s="240">
        <v>8.4799421296296654E-3</v>
      </c>
      <c r="W73" s="38"/>
      <c r="X73" s="36">
        <v>42</v>
      </c>
      <c r="Y73" s="43">
        <v>142</v>
      </c>
      <c r="Z73" s="41">
        <v>7.8796296296296295E-2</v>
      </c>
      <c r="AA73" s="35">
        <v>0</v>
      </c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154</v>
      </c>
      <c r="C74" s="63" t="str">
        <f>VLOOKUP(B74,STARTOVKA,2,0)</f>
        <v>CZE19970227</v>
      </c>
      <c r="D74" s="64" t="str">
        <f>VLOOKUP(B74,STARTOVKA,3,0)</f>
        <v>PAVKA Filip</v>
      </c>
      <c r="E74" s="65" t="str">
        <f>VLOOKUP(B74,STARTOVKA,4,0)</f>
        <v>STEVENS ZNOJMO</v>
      </c>
      <c r="F74" s="66">
        <f>VLOOKUP(B74,STARTOVKA,5,0)</f>
        <v>20126</v>
      </c>
      <c r="G74" s="67" t="str">
        <f>VLOOKUP(B74,STARTOVKA,6,0)</f>
        <v>JUNIOR*</v>
      </c>
      <c r="H74" s="67" t="str">
        <f>VLOOKUP(B74,STARTOVKA,7,0)</f>
        <v>SKC</v>
      </c>
      <c r="I74" s="199">
        <f>SUM(R74,V74,Z74,AD74)-SUM(S74,W74,AA74,AE74)+AF74</f>
        <v>0.16557293981481483</v>
      </c>
      <c r="J74" s="31">
        <f>I74-$I$12</f>
        <v>3.7873263888889008E-3</v>
      </c>
      <c r="K74" s="31"/>
      <c r="M74" s="69">
        <f>A74</f>
        <v>63</v>
      </c>
      <c r="P74" s="36">
        <v>47</v>
      </c>
      <c r="Q74" s="43">
        <v>154</v>
      </c>
      <c r="R74" s="41">
        <v>7.8287037037037044E-2</v>
      </c>
      <c r="S74" s="35">
        <v>0</v>
      </c>
      <c r="T74" s="37">
        <v>92</v>
      </c>
      <c r="U74" s="44">
        <v>154</v>
      </c>
      <c r="V74" s="240">
        <v>7.9919212962963129E-3</v>
      </c>
      <c r="W74" s="38"/>
      <c r="X74" s="36">
        <v>53</v>
      </c>
      <c r="Y74" s="43">
        <v>154</v>
      </c>
      <c r="Z74" s="41">
        <v>7.9293981481481479E-2</v>
      </c>
      <c r="AA74" s="35">
        <v>0</v>
      </c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3</v>
      </c>
      <c r="C75" s="63" t="str">
        <f>VLOOKUP(B75,STARTOVKA,2,0)</f>
        <v>GER19970102</v>
      </c>
      <c r="D75" s="64" t="str">
        <f>VLOOKUP(B75,STARTOVKA,3,0)</f>
        <v>ZEISE Paul</v>
      </c>
      <c r="E75" s="65" t="str">
        <f>VLOOKUP(B75,STARTOVKA,4,0)</f>
        <v>RSC TURBINE ERFURT</v>
      </c>
      <c r="F75" s="66" t="str">
        <f>VLOOKUP(B75,STARTOVKA,5,0)</f>
        <v>THÜ173430</v>
      </c>
      <c r="G75" s="67" t="str">
        <f>VLOOKUP(B75,STARTOVKA,6,0)</f>
        <v>JUNIOR*</v>
      </c>
      <c r="H75" s="67" t="str">
        <f>VLOOKUP(B75,STARTOVKA,7,0)</f>
        <v>TUR</v>
      </c>
      <c r="I75" s="199">
        <f>SUM(R75,V75,Z75,AD75)-SUM(S75,W75,AA75,AE75)+AF75</f>
        <v>0.16557356481481483</v>
      </c>
      <c r="J75" s="31">
        <f>I75-$I$12</f>
        <v>3.7879513888889049E-3</v>
      </c>
      <c r="K75" s="31"/>
      <c r="M75" s="69">
        <f>A75</f>
        <v>64</v>
      </c>
      <c r="P75" s="36">
        <v>27</v>
      </c>
      <c r="Q75" s="43">
        <v>3</v>
      </c>
      <c r="R75" s="41">
        <v>7.8287037037037044E-2</v>
      </c>
      <c r="S75" s="35">
        <v>0</v>
      </c>
      <c r="T75" s="37">
        <v>17</v>
      </c>
      <c r="U75" s="44">
        <v>3</v>
      </c>
      <c r="V75" s="240">
        <v>7.0781944444444633E-3</v>
      </c>
      <c r="W75" s="38"/>
      <c r="X75" s="36">
        <v>72</v>
      </c>
      <c r="Y75" s="43">
        <v>3</v>
      </c>
      <c r="Z75" s="41">
        <v>8.020833333333334E-2</v>
      </c>
      <c r="AA75" s="35">
        <v>0</v>
      </c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42</v>
      </c>
      <c r="C76" s="63" t="str">
        <f>VLOOKUP(B76,STARTOVKA,2,0)</f>
        <v>CZE19961125</v>
      </c>
      <c r="D76" s="64" t="str">
        <f>VLOOKUP(B76,STARTOVKA,3,0)</f>
        <v xml:space="preserve">ANDRŠ Jakub </v>
      </c>
      <c r="E76" s="65" t="str">
        <f>VLOOKUP(B76,STARTOVKA,4,0)</f>
        <v>KC KOOPERATIVA SG JABLONEC N.N</v>
      </c>
      <c r="F76" s="66">
        <f>VLOOKUP(B76,STARTOVKA,5,0)</f>
        <v>12251</v>
      </c>
      <c r="G76" s="67" t="str">
        <f>VLOOKUP(B76,STARTOVKA,6,0)</f>
        <v>JUNIOR</v>
      </c>
      <c r="H76" s="67" t="str">
        <f>VLOOKUP(B76,STARTOVKA,7,0)</f>
        <v>KOO</v>
      </c>
      <c r="I76" s="199">
        <f>SUM(R76,V76,Z76,AD76)-SUM(S76,W76,AA76,AE76)+AF76</f>
        <v>0.16557667824074077</v>
      </c>
      <c r="J76" s="31">
        <f>I76-$I$12</f>
        <v>3.7910648148148374E-3</v>
      </c>
      <c r="K76" s="31"/>
      <c r="M76" s="69">
        <f>A76</f>
        <v>65</v>
      </c>
      <c r="P76" s="36">
        <v>49</v>
      </c>
      <c r="Q76" s="43">
        <v>42</v>
      </c>
      <c r="R76" s="41">
        <v>7.8287037037037044E-2</v>
      </c>
      <c r="S76" s="35">
        <v>0</v>
      </c>
      <c r="T76" s="37">
        <v>94</v>
      </c>
      <c r="U76" s="44">
        <v>42</v>
      </c>
      <c r="V76" s="240">
        <v>7.9956597222222425E-3</v>
      </c>
      <c r="W76" s="38"/>
      <c r="X76" s="36">
        <v>55</v>
      </c>
      <c r="Y76" s="43">
        <v>42</v>
      </c>
      <c r="Z76" s="41">
        <v>7.9293981481481479E-2</v>
      </c>
      <c r="AA76" s="35">
        <v>0</v>
      </c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50</v>
      </c>
      <c r="C77" s="63" t="str">
        <f>VLOOKUP(B77,STARTOVKA,2,0)</f>
        <v>CZE19960203</v>
      </c>
      <c r="D77" s="64" t="str">
        <f>VLOOKUP(B77,STARTOVKA,3,0)</f>
        <v xml:space="preserve">VRÁNA Dominik </v>
      </c>
      <c r="E77" s="65" t="str">
        <f>VLOOKUP(B77,STARTOVKA,4,0)</f>
        <v>KC KOOPERATIVA SG JABLONEC N.N</v>
      </c>
      <c r="F77" s="66">
        <f>VLOOKUP(B77,STARTOVKA,5,0)</f>
        <v>8884</v>
      </c>
      <c r="G77" s="67" t="str">
        <f>VLOOKUP(B77,STARTOVKA,6,0)</f>
        <v>JUNIOR</v>
      </c>
      <c r="H77" s="67" t="str">
        <f>VLOOKUP(B77,STARTOVKA,7,0)</f>
        <v>KOO</v>
      </c>
      <c r="I77" s="199">
        <f>SUM(R77,V77,Z77,AD77)-SUM(S77,W77,AA77,AE77)+AF77</f>
        <v>0.1655897106481482</v>
      </c>
      <c r="J77" s="31">
        <f>I77-$I$12</f>
        <v>3.8040972222222746E-3</v>
      </c>
      <c r="K77" s="31"/>
      <c r="M77" s="69">
        <f>A77</f>
        <v>66</v>
      </c>
      <c r="P77" s="36">
        <v>99</v>
      </c>
      <c r="Q77" s="43">
        <v>50</v>
      </c>
      <c r="R77" s="41">
        <v>7.8287037037037044E-2</v>
      </c>
      <c r="S77" s="35">
        <v>0</v>
      </c>
      <c r="T77" s="37">
        <v>58</v>
      </c>
      <c r="U77" s="44">
        <v>50</v>
      </c>
      <c r="V77" s="240">
        <v>7.5341550925926374E-3</v>
      </c>
      <c r="W77" s="38"/>
      <c r="X77" s="36">
        <v>67</v>
      </c>
      <c r="Y77" s="43">
        <v>50</v>
      </c>
      <c r="Z77" s="41">
        <v>7.9768518518518516E-2</v>
      </c>
      <c r="AA77" s="35">
        <v>0</v>
      </c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131</v>
      </c>
      <c r="C78" s="63" t="str">
        <f>VLOOKUP(B78,STARTOVKA,2,0)</f>
        <v>AUT19961107</v>
      </c>
      <c r="D78" s="64" t="str">
        <f>VLOOKUP(B78,STARTOVKA,3,0)</f>
        <v>FÜHRER Alexander</v>
      </c>
      <c r="E78" s="65" t="str">
        <f>VLOOKUP(B78,STARTOVKA,4,0)</f>
        <v>RLM WIEN</v>
      </c>
      <c r="F78" s="66">
        <f>VLOOKUP(B78,STARTOVKA,5,0)</f>
        <v>100020</v>
      </c>
      <c r="G78" s="67" t="str">
        <f>VLOOKUP(B78,STARTOVKA,6,0)</f>
        <v>JUNIOR</v>
      </c>
      <c r="H78" s="67" t="str">
        <f>VLOOKUP(B78,STARTOVKA,7,0)</f>
        <v>RCA</v>
      </c>
      <c r="I78" s="199">
        <f>SUM(R78,V78,Z78,AD78)-SUM(S78,W78,AA78,AE78)+AF78</f>
        <v>0.16571202546296293</v>
      </c>
      <c r="J78" s="31">
        <f>I78-$I$12</f>
        <v>3.9264120370370026E-3</v>
      </c>
      <c r="K78" s="31"/>
      <c r="M78" s="69">
        <f>A78</f>
        <v>67</v>
      </c>
      <c r="P78" s="36">
        <v>108</v>
      </c>
      <c r="Q78" s="43">
        <v>131</v>
      </c>
      <c r="R78" s="41">
        <v>7.8287037037037044E-2</v>
      </c>
      <c r="S78" s="35">
        <v>0</v>
      </c>
      <c r="T78" s="37">
        <v>106</v>
      </c>
      <c r="U78" s="44">
        <v>131</v>
      </c>
      <c r="V78" s="240">
        <v>8.1310069444444008E-3</v>
      </c>
      <c r="W78" s="38"/>
      <c r="X78" s="36">
        <v>49</v>
      </c>
      <c r="Y78" s="43">
        <v>131</v>
      </c>
      <c r="Z78" s="41">
        <v>7.9293981481481479E-2</v>
      </c>
      <c r="AA78" s="35">
        <v>0</v>
      </c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137</v>
      </c>
      <c r="C79" s="63" t="str">
        <f>VLOOKUP(B79,STARTOVKA,2,0)</f>
        <v>AUT19960713</v>
      </c>
      <c r="D79" s="64" t="str">
        <f>VLOOKUP(B79,STARTOVKA,3,0)</f>
        <v>PÖPPL Tobias</v>
      </c>
      <c r="E79" s="65" t="str">
        <f>VLOOKUP(B79,STARTOVKA,4,0)</f>
        <v>RC WALDING</v>
      </c>
      <c r="F79" s="66">
        <f>VLOOKUP(B79,STARTOVKA,5,0)</f>
        <v>100289</v>
      </c>
      <c r="G79" s="67" t="str">
        <f>VLOOKUP(B79,STARTOVKA,6,0)</f>
        <v>JUNIOR</v>
      </c>
      <c r="H79" s="67" t="str">
        <f>VLOOKUP(B79,STARTOVKA,7,0)</f>
        <v>RCA</v>
      </c>
      <c r="I79" s="199">
        <f>SUM(R79,V79,Z79,AD79)-SUM(S79,W79,AA79,AE79)+AF79</f>
        <v>0.16572339120370372</v>
      </c>
      <c r="J79" s="31">
        <f>I79-$I$12</f>
        <v>3.93777777777779E-3</v>
      </c>
      <c r="K79" s="31"/>
      <c r="M79" s="69">
        <f>A79</f>
        <v>68</v>
      </c>
      <c r="P79" s="36">
        <v>13</v>
      </c>
      <c r="Q79" s="43">
        <v>137</v>
      </c>
      <c r="R79" s="41">
        <v>7.8287037037037044E-2</v>
      </c>
      <c r="S79" s="35">
        <v>0</v>
      </c>
      <c r="T79" s="37">
        <v>29</v>
      </c>
      <c r="U79" s="44">
        <v>137</v>
      </c>
      <c r="V79" s="240">
        <v>7.2280208333333207E-3</v>
      </c>
      <c r="W79" s="38"/>
      <c r="X79" s="36">
        <v>70</v>
      </c>
      <c r="Y79" s="43">
        <v>137</v>
      </c>
      <c r="Z79" s="41">
        <v>8.020833333333334E-2</v>
      </c>
      <c r="AA79" s="35">
        <v>0</v>
      </c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95</v>
      </c>
      <c r="C80" s="63" t="str">
        <f>VLOOKUP(B80,STARTOVKA,2,0)</f>
        <v>CZE19970813</v>
      </c>
      <c r="D80" s="64" t="str">
        <f>VLOOKUP(B80,STARTOVKA,3,0)</f>
        <v xml:space="preserve">LAFUNTÁL Robert </v>
      </c>
      <c r="E80" s="65" t="str">
        <f>VLOOKUP(B80,STARTOVKA,4,0)</f>
        <v xml:space="preserve">TJ FAVORIT BRNO </v>
      </c>
      <c r="F80" s="66">
        <f>VLOOKUP(B80,STARTOVKA,5,0)</f>
        <v>13204</v>
      </c>
      <c r="G80" s="67" t="str">
        <f>VLOOKUP(B80,STARTOVKA,6,0)</f>
        <v>JUNIOR*</v>
      </c>
      <c r="H80" s="67" t="str">
        <f>VLOOKUP(B80,STARTOVKA,7,0)</f>
        <v>FAV</v>
      </c>
      <c r="I80" s="199">
        <f>SUM(R80,V80,Z80,AD80)-SUM(S80,W80,AA80,AE80)+AF80</f>
        <v>0.1657798842592593</v>
      </c>
      <c r="J80" s="31">
        <f>I80-$I$12</f>
        <v>3.9942708333333687E-3</v>
      </c>
      <c r="K80" s="31"/>
      <c r="M80" s="69">
        <f>A80</f>
        <v>69</v>
      </c>
      <c r="P80" s="36">
        <v>97</v>
      </c>
      <c r="Q80" s="43">
        <v>95</v>
      </c>
      <c r="R80" s="41">
        <v>7.8287037037037044E-2</v>
      </c>
      <c r="S80" s="35">
        <v>0</v>
      </c>
      <c r="T80" s="37">
        <v>42</v>
      </c>
      <c r="U80" s="44">
        <v>95</v>
      </c>
      <c r="V80" s="240">
        <v>7.388680555555591E-3</v>
      </c>
      <c r="W80" s="38"/>
      <c r="X80" s="36">
        <v>68</v>
      </c>
      <c r="Y80" s="43">
        <v>95</v>
      </c>
      <c r="Z80" s="41">
        <v>8.0104166666666657E-2</v>
      </c>
      <c r="AA80" s="35">
        <v>0</v>
      </c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111</v>
      </c>
      <c r="C81" s="63" t="str">
        <f>VLOOKUP(B81,STARTOVKA,2,0)</f>
        <v>GER19960410</v>
      </c>
      <c r="D81" s="64" t="str">
        <f>VLOOKUP(B81,STARTOVKA,3,0)</f>
        <v>BECKER Alexander</v>
      </c>
      <c r="E81" s="65" t="str">
        <f>VLOOKUP(B81,STARTOVKA,4,0)</f>
        <v>TEAM BRANDENBURG - RSC COTTBUS</v>
      </c>
      <c r="F81" s="66" t="str">
        <f>VLOOKUP(B81,STARTOVKA,5,0)</f>
        <v>042439-11</v>
      </c>
      <c r="G81" s="67" t="str">
        <f>VLOOKUP(B81,STARTOVKA,6,0)</f>
        <v>JUNIOR</v>
      </c>
      <c r="H81" s="67" t="str">
        <f>VLOOKUP(B81,STARTOVKA,7,0)</f>
        <v>COT</v>
      </c>
      <c r="I81" s="199">
        <f>SUM(R81,V81,Z81,AD81)-SUM(S81,W81,AA81,AE81)+AF81</f>
        <v>0.16605478009259261</v>
      </c>
      <c r="J81" s="31">
        <f>I81-$I$12</f>
        <v>4.269166666666685E-3</v>
      </c>
      <c r="K81" s="31"/>
      <c r="M81" s="69">
        <f>A81</f>
        <v>70</v>
      </c>
      <c r="P81" s="36">
        <v>7</v>
      </c>
      <c r="Q81" s="43">
        <v>111</v>
      </c>
      <c r="R81" s="41">
        <v>7.8287037037037044E-2</v>
      </c>
      <c r="S81" s="35">
        <v>0</v>
      </c>
      <c r="T81" s="37">
        <v>113</v>
      </c>
      <c r="U81" s="44">
        <v>111</v>
      </c>
      <c r="V81" s="240">
        <v>8.4737615740740763E-3</v>
      </c>
      <c r="W81" s="38"/>
      <c r="X81" s="36">
        <v>46</v>
      </c>
      <c r="Y81" s="43">
        <v>111</v>
      </c>
      <c r="Z81" s="41">
        <v>7.9293981481481479E-2</v>
      </c>
      <c r="AA81" s="35">
        <v>0</v>
      </c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59</v>
      </c>
      <c r="C82" s="63" t="str">
        <f>VLOOKUP(B82,STARTOVKA,2,0)</f>
        <v>CZE19960727</v>
      </c>
      <c r="D82" s="64" t="str">
        <f>VLOOKUP(B82,STARTOVKA,3,0)</f>
        <v xml:space="preserve">PREJDA Václav </v>
      </c>
      <c r="E82" s="65" t="str">
        <f>VLOOKUP(B82,STARTOVKA,4,0)</f>
        <v xml:space="preserve">SK JIŘÍ TEAM OSTRAVA </v>
      </c>
      <c r="F82" s="66">
        <f>VLOOKUP(B82,STARTOVKA,5,0)</f>
        <v>16035</v>
      </c>
      <c r="G82" s="67" t="str">
        <f>VLOOKUP(B82,STARTOVKA,6,0)</f>
        <v>JUNIOR</v>
      </c>
      <c r="H82" s="67" t="str">
        <f>VLOOKUP(B82,STARTOVKA,7,0)</f>
        <v>GLI</v>
      </c>
      <c r="I82" s="199">
        <f>SUM(R82,V82,Z82,AD82)-SUM(S82,W82,AA82,AE82)+AF82</f>
        <v>0.16606084490740741</v>
      </c>
      <c r="J82" s="31">
        <f>I82-$I$12</f>
        <v>4.275231481481484E-3</v>
      </c>
      <c r="K82" s="31"/>
      <c r="M82" s="69">
        <f>A82</f>
        <v>71</v>
      </c>
      <c r="P82" s="36">
        <v>107</v>
      </c>
      <c r="Q82" s="43">
        <v>59</v>
      </c>
      <c r="R82" s="41">
        <v>7.8287037037037044E-2</v>
      </c>
      <c r="S82" s="35">
        <v>0</v>
      </c>
      <c r="T82" s="37">
        <v>61</v>
      </c>
      <c r="U82" s="44">
        <v>59</v>
      </c>
      <c r="V82" s="240">
        <v>7.5654745370370355E-3</v>
      </c>
      <c r="W82" s="38"/>
      <c r="X82" s="36">
        <v>71</v>
      </c>
      <c r="Y82" s="43">
        <v>59</v>
      </c>
      <c r="Z82" s="41">
        <v>8.020833333333334E-2</v>
      </c>
      <c r="AA82" s="35">
        <v>0</v>
      </c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143</v>
      </c>
      <c r="C83" s="63" t="str">
        <f>VLOOKUP(B83,STARTOVKA,2,0)</f>
        <v>CZE19960606</v>
      </c>
      <c r="D83" s="64" t="str">
        <f>VLOOKUP(B83,STARTOVKA,3,0)</f>
        <v xml:space="preserve">KOVÁŘ Jan </v>
      </c>
      <c r="E83" s="65" t="str">
        <f>VLOOKUP(B83,STARTOVKA,4,0)</f>
        <v xml:space="preserve">MAPEI CYKLO KAŇKOVSKÝ </v>
      </c>
      <c r="F83" s="66">
        <f>VLOOKUP(B83,STARTOVKA,5,0)</f>
        <v>12418</v>
      </c>
      <c r="G83" s="67" t="str">
        <f>VLOOKUP(B83,STARTOVKA,6,0)</f>
        <v>JUNIOR</v>
      </c>
      <c r="H83" s="67" t="str">
        <f>VLOOKUP(B83,STARTOVKA,7,0)</f>
        <v>MAP</v>
      </c>
      <c r="I83" s="199">
        <f>SUM(R83,V83,Z83,AD83)-SUM(S83,W83,AA83,AE83)+AF83</f>
        <v>0.16610028935185187</v>
      </c>
      <c r="J83" s="31">
        <f>I83-$I$12</f>
        <v>4.3146759259259371E-3</v>
      </c>
      <c r="K83" s="31"/>
      <c r="M83" s="69">
        <f>A83</f>
        <v>72</v>
      </c>
      <c r="P83" s="36">
        <v>3</v>
      </c>
      <c r="Q83" s="43">
        <v>143</v>
      </c>
      <c r="R83" s="41">
        <v>7.8067129629629625E-2</v>
      </c>
      <c r="S83" s="35">
        <v>4.6296296296296294E-5</v>
      </c>
      <c r="T83" s="37">
        <v>18</v>
      </c>
      <c r="U83" s="44">
        <v>143</v>
      </c>
      <c r="V83" s="240">
        <v>7.0840856481481501E-3</v>
      </c>
      <c r="W83" s="38"/>
      <c r="X83" s="36">
        <v>81</v>
      </c>
      <c r="Y83" s="43">
        <v>143</v>
      </c>
      <c r="Z83" s="41">
        <v>8.099537037037037E-2</v>
      </c>
      <c r="AA83" s="35">
        <v>0</v>
      </c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141</v>
      </c>
      <c r="C84" s="63" t="str">
        <f>VLOOKUP(B84,STARTOVKA,2,0)</f>
        <v>CZE19960716</v>
      </c>
      <c r="D84" s="64" t="str">
        <f>VLOOKUP(B84,STARTOVKA,3,0)</f>
        <v xml:space="preserve">HYNEK Matouš </v>
      </c>
      <c r="E84" s="65" t="str">
        <f>VLOOKUP(B84,STARTOVKA,4,0)</f>
        <v xml:space="preserve">MAPEI CYKLO KAŇKOVSKÝ </v>
      </c>
      <c r="F84" s="66">
        <f>VLOOKUP(B84,STARTOVKA,5,0)</f>
        <v>7803</v>
      </c>
      <c r="G84" s="67" t="str">
        <f>VLOOKUP(B84,STARTOVKA,6,0)</f>
        <v>JUNIOR</v>
      </c>
      <c r="H84" s="67" t="str">
        <f>VLOOKUP(B84,STARTOVKA,7,0)</f>
        <v>MAP</v>
      </c>
      <c r="I84" s="199">
        <f>SUM(R84,V84,Z84,AD84)-SUM(S84,W84,AA84,AE84)+AF84</f>
        <v>0.16631501157407408</v>
      </c>
      <c r="J84" s="31">
        <f>I84-$I$12</f>
        <v>4.5293981481481504E-3</v>
      </c>
      <c r="K84" s="31"/>
      <c r="M84" s="69">
        <f>A84</f>
        <v>73</v>
      </c>
      <c r="P84" s="36">
        <v>84</v>
      </c>
      <c r="Q84" s="43">
        <v>141</v>
      </c>
      <c r="R84" s="41">
        <v>7.8287037037037044E-2</v>
      </c>
      <c r="S84" s="35">
        <v>0</v>
      </c>
      <c r="T84" s="37">
        <v>110</v>
      </c>
      <c r="U84" s="44">
        <v>141</v>
      </c>
      <c r="V84" s="240">
        <v>8.3404745370370438E-3</v>
      </c>
      <c r="W84" s="38"/>
      <c r="X84" s="36">
        <v>66</v>
      </c>
      <c r="Y84" s="43">
        <v>141</v>
      </c>
      <c r="Z84" s="41">
        <v>7.9687500000000008E-2</v>
      </c>
      <c r="AA84" s="35">
        <v>0</v>
      </c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57</v>
      </c>
      <c r="C85" s="63" t="str">
        <f>VLOOKUP(B85,STARTOVKA,2,0)</f>
        <v>POL19970825</v>
      </c>
      <c r="D85" s="64" t="str">
        <f>VLOOKUP(B85,STARTOVKA,3,0)</f>
        <v>GRZEGORZYCA Dominik</v>
      </c>
      <c r="E85" s="65" t="str">
        <f>VLOOKUP(B85,STARTOVKA,4,0)</f>
        <v>GRUPA KOLARSKA GLIWICE BA</v>
      </c>
      <c r="F85" s="66" t="str">
        <f>VLOOKUP(B85,STARTOVKA,5,0)</f>
        <v>SLA008</v>
      </c>
      <c r="G85" s="67" t="str">
        <f>VLOOKUP(B85,STARTOVKA,6,0)</f>
        <v>JUNIOR*</v>
      </c>
      <c r="H85" s="67" t="str">
        <f>VLOOKUP(B85,STARTOVKA,7,0)</f>
        <v>GLI</v>
      </c>
      <c r="I85" s="199">
        <f>SUM(R85,V85,Z85,AD85)-SUM(S85,W85,AA85,AE85)+AF85</f>
        <v>0.1663425925925926</v>
      </c>
      <c r="J85" s="31">
        <f>I85-$I$12</f>
        <v>4.5569791666666692E-3</v>
      </c>
      <c r="K85" s="31"/>
      <c r="M85" s="69">
        <f>A85</f>
        <v>74</v>
      </c>
      <c r="P85" s="36">
        <v>39</v>
      </c>
      <c r="Q85" s="43">
        <v>57</v>
      </c>
      <c r="R85" s="41">
        <v>7.8287037037037044E-2</v>
      </c>
      <c r="S85" s="35">
        <v>0</v>
      </c>
      <c r="T85" s="37">
        <v>15</v>
      </c>
      <c r="U85" s="44">
        <v>57</v>
      </c>
      <c r="V85" s="240">
        <v>7.060185185185204E-3</v>
      </c>
      <c r="W85" s="38"/>
      <c r="X85" s="36">
        <v>80</v>
      </c>
      <c r="Y85" s="43">
        <v>57</v>
      </c>
      <c r="Z85" s="41">
        <v>8.099537037037037E-2</v>
      </c>
      <c r="AA85" s="35">
        <v>0</v>
      </c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31</v>
      </c>
      <c r="C86" s="63" t="str">
        <f>VLOOKUP(B86,STARTOVKA,2,0)</f>
        <v>CZE19960423</v>
      </c>
      <c r="D86" s="64" t="str">
        <f>VLOOKUP(B86,STARTOVKA,3,0)</f>
        <v xml:space="preserve">MORÁVEK Zdeněk </v>
      </c>
      <c r="E86" s="65" t="str">
        <f>VLOOKUP(B86,STARTOVKA,4,0)</f>
        <v>ALLTRAINING.CZ</v>
      </c>
      <c r="F86" s="66">
        <f>VLOOKUP(B86,STARTOVKA,5,0)</f>
        <v>19314</v>
      </c>
      <c r="G86" s="67" t="str">
        <f>VLOOKUP(B86,STARTOVKA,6,0)</f>
        <v>JUNIOR</v>
      </c>
      <c r="H86" s="67" t="str">
        <f>VLOOKUP(B86,STARTOVKA,7,0)</f>
        <v>REM</v>
      </c>
      <c r="I86" s="199">
        <f>SUM(R86,V86,Z86,AD86)-SUM(S86,W86,AA86,AE86)+AF86</f>
        <v>0.16637623842592592</v>
      </c>
      <c r="J86" s="31">
        <f>I86-$I$12</f>
        <v>4.5906249999999871E-3</v>
      </c>
      <c r="K86" s="31"/>
      <c r="M86" s="69">
        <f>A86</f>
        <v>75</v>
      </c>
      <c r="P86" s="36">
        <v>76</v>
      </c>
      <c r="Q86" s="43">
        <v>31</v>
      </c>
      <c r="R86" s="41">
        <v>7.8287037037037044E-2</v>
      </c>
      <c r="S86" s="35">
        <v>0</v>
      </c>
      <c r="T86" s="37">
        <v>85</v>
      </c>
      <c r="U86" s="44">
        <v>31</v>
      </c>
      <c r="V86" s="240">
        <v>7.8808680555555281E-3</v>
      </c>
      <c r="W86" s="38"/>
      <c r="X86" s="36">
        <v>74</v>
      </c>
      <c r="Y86" s="43">
        <v>31</v>
      </c>
      <c r="Z86" s="41">
        <v>8.020833333333334E-2</v>
      </c>
      <c r="AA86" s="35">
        <v>0</v>
      </c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174</v>
      </c>
      <c r="C87" s="63" t="str">
        <f>VLOOKUP(B87,STARTOVKA,2,0)</f>
        <v>SVK19970730</v>
      </c>
      <c r="D87" s="64" t="str">
        <f>VLOOKUP(B87,STARTOVKA,3,0)</f>
        <v>JELŽA Nicolas</v>
      </c>
      <c r="E87" s="65" t="str">
        <f>VLOOKUP(B87,STARTOVKA,4,0)</f>
        <v xml:space="preserve">SLOVAK CYCLING FEDERATION </v>
      </c>
      <c r="F87" s="66">
        <f>VLOOKUP(B87,STARTOVKA,5,0)</f>
        <v>4237</v>
      </c>
      <c r="G87" s="67" t="str">
        <f>VLOOKUP(B87,STARTOVKA,6,0)</f>
        <v>JUNIOR*</v>
      </c>
      <c r="H87" s="67" t="str">
        <f>VLOOKUP(B87,STARTOVKA,7,0)</f>
        <v>SVK</v>
      </c>
      <c r="I87" s="199">
        <f>SUM(R87,V87,Z87,AD87)-SUM(S87,W87,AA87,AE87)+AF87</f>
        <v>0.16642437500000001</v>
      </c>
      <c r="J87" s="31">
        <f>I87-$I$12</f>
        <v>4.6387615740740851E-3</v>
      </c>
      <c r="K87" s="31"/>
      <c r="M87" s="69">
        <f>A87</f>
        <v>76</v>
      </c>
      <c r="P87" s="36">
        <v>56</v>
      </c>
      <c r="Q87" s="43">
        <v>174</v>
      </c>
      <c r="R87" s="41">
        <v>7.8287037037037044E-2</v>
      </c>
      <c r="S87" s="35">
        <v>0</v>
      </c>
      <c r="T87" s="37">
        <v>89</v>
      </c>
      <c r="U87" s="44">
        <v>174</v>
      </c>
      <c r="V87" s="240">
        <v>7.9290046296296435E-3</v>
      </c>
      <c r="W87" s="38"/>
      <c r="X87" s="36">
        <v>69</v>
      </c>
      <c r="Y87" s="43">
        <v>174</v>
      </c>
      <c r="Z87" s="41">
        <v>8.020833333333334E-2</v>
      </c>
      <c r="AA87" s="35">
        <v>0</v>
      </c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144</v>
      </c>
      <c r="C88" s="63" t="str">
        <f>VLOOKUP(B88,STARTOVKA,2,0)</f>
        <v>CZE19961220</v>
      </c>
      <c r="D88" s="64" t="str">
        <f>VLOOKUP(B88,STARTOVKA,3,0)</f>
        <v xml:space="preserve">LOVEČEK Adam </v>
      </c>
      <c r="E88" s="65" t="str">
        <f>VLOOKUP(B88,STARTOVKA,4,0)</f>
        <v xml:space="preserve">MAPEI CYKLO KAŇKOVSKÝ </v>
      </c>
      <c r="F88" s="66">
        <f>VLOOKUP(B88,STARTOVKA,5,0)</f>
        <v>19339</v>
      </c>
      <c r="G88" s="67" t="str">
        <f>VLOOKUP(B88,STARTOVKA,6,0)</f>
        <v>JUNIOR</v>
      </c>
      <c r="H88" s="67" t="str">
        <f>VLOOKUP(B88,STARTOVKA,7,0)</f>
        <v>MAP</v>
      </c>
      <c r="I88" s="199">
        <f>SUM(R88,V88,Z88,AD88)-SUM(S88,W88,AA88,AE88)+AF88</f>
        <v>0.16671211805555555</v>
      </c>
      <c r="J88" s="31">
        <f>I88-$I$12</f>
        <v>4.9265046296296244E-3</v>
      </c>
      <c r="K88" s="31"/>
      <c r="M88" s="69">
        <f>A88</f>
        <v>77</v>
      </c>
      <c r="P88" s="36">
        <v>80</v>
      </c>
      <c r="Q88" s="43">
        <v>144</v>
      </c>
      <c r="R88" s="41">
        <v>7.8287037037037044E-2</v>
      </c>
      <c r="S88" s="35">
        <v>0</v>
      </c>
      <c r="T88" s="37">
        <v>48</v>
      </c>
      <c r="U88" s="44">
        <v>144</v>
      </c>
      <c r="V88" s="240">
        <v>7.4297106481481384E-3</v>
      </c>
      <c r="W88" s="38"/>
      <c r="X88" s="36">
        <v>82</v>
      </c>
      <c r="Y88" s="43">
        <v>144</v>
      </c>
      <c r="Z88" s="41">
        <v>8.099537037037037E-2</v>
      </c>
      <c r="AA88" s="35">
        <v>0</v>
      </c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107</v>
      </c>
      <c r="C89" s="63" t="str">
        <f>VLOOKUP(B89,STARTOVKA,2,0)</f>
        <v>CZE19970110</v>
      </c>
      <c r="D89" s="64" t="str">
        <f>VLOOKUP(B89,STARTOVKA,3,0)</f>
        <v xml:space="preserve">KŘIKAVA Jakub </v>
      </c>
      <c r="E89" s="65" t="str">
        <f>VLOOKUP(B89,STARTOVKA,4,0)</f>
        <v xml:space="preserve">TJ ZČE CYKLISTIKA PLZEŇ </v>
      </c>
      <c r="F89" s="66">
        <f>VLOOKUP(B89,STARTOVKA,5,0)</f>
        <v>9167</v>
      </c>
      <c r="G89" s="67" t="str">
        <f>VLOOKUP(B89,STARTOVKA,6,0)</f>
        <v>JUNIOR*</v>
      </c>
      <c r="H89" s="67" t="str">
        <f>VLOOKUP(B89,STARTOVKA,7,0)</f>
        <v>LOU</v>
      </c>
      <c r="I89" s="199">
        <f>SUM(R89,V89,Z89,AD89)-SUM(S89,W89,AA89,AE89)+AF89</f>
        <v>0.1668197337962963</v>
      </c>
      <c r="J89" s="31">
        <f>I89-$I$12</f>
        <v>5.0341203703703763E-3</v>
      </c>
      <c r="K89" s="31"/>
      <c r="M89" s="69">
        <f>A89</f>
        <v>78</v>
      </c>
      <c r="P89" s="36">
        <v>82</v>
      </c>
      <c r="Q89" s="43">
        <v>107</v>
      </c>
      <c r="R89" s="41">
        <v>7.8287037037037044E-2</v>
      </c>
      <c r="S89" s="35">
        <v>0</v>
      </c>
      <c r="T89" s="37">
        <v>59</v>
      </c>
      <c r="U89" s="44">
        <v>107</v>
      </c>
      <c r="V89" s="240">
        <v>7.5373263888888903E-3</v>
      </c>
      <c r="W89" s="38"/>
      <c r="X89" s="36">
        <v>83</v>
      </c>
      <c r="Y89" s="43">
        <v>107</v>
      </c>
      <c r="Z89" s="41">
        <v>8.099537037037037E-2</v>
      </c>
      <c r="AA89" s="35">
        <v>0</v>
      </c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8</v>
      </c>
      <c r="C90" s="63" t="str">
        <f>VLOOKUP(B90,STARTOVKA,2,0)</f>
        <v>GER19980416</v>
      </c>
      <c r="D90" s="64" t="str">
        <f>VLOOKUP(B90,STARTOVKA,3,0)</f>
        <v>KÄßMANN Fabian</v>
      </c>
      <c r="E90" s="65" t="str">
        <f>VLOOKUP(B90,STARTOVKA,4,0)</f>
        <v>1.RSV 1886 GREIZ</v>
      </c>
      <c r="F90" s="66" t="str">
        <f>VLOOKUP(B90,STARTOVKA,5,0)</f>
        <v>THÜ173410</v>
      </c>
      <c r="G90" s="67" t="str">
        <f>VLOOKUP(B90,STARTOVKA,6,0)</f>
        <v>CADET</v>
      </c>
      <c r="H90" s="67" t="str">
        <f>VLOOKUP(B90,STARTOVKA,7,0)</f>
        <v>TUR</v>
      </c>
      <c r="I90" s="199">
        <f>SUM(R90,V90,Z90,AD90)-SUM(S90,W90,AA90,AE90)+AF90</f>
        <v>0.16695466435185191</v>
      </c>
      <c r="J90" s="31">
        <f>I90-$I$12</f>
        <v>5.1690509259259831E-3</v>
      </c>
      <c r="K90" s="31"/>
      <c r="M90" s="69">
        <f>A90</f>
        <v>79</v>
      </c>
      <c r="P90" s="36">
        <v>41</v>
      </c>
      <c r="Q90" s="43">
        <v>8</v>
      </c>
      <c r="R90" s="41">
        <v>7.8287037037037044E-2</v>
      </c>
      <c r="S90" s="35">
        <v>0</v>
      </c>
      <c r="T90" s="37">
        <v>67</v>
      </c>
      <c r="U90" s="44">
        <v>8</v>
      </c>
      <c r="V90" s="240">
        <v>7.6722569444444763E-3</v>
      </c>
      <c r="W90" s="38"/>
      <c r="X90" s="36">
        <v>85</v>
      </c>
      <c r="Y90" s="43">
        <v>8</v>
      </c>
      <c r="Z90" s="41">
        <v>8.099537037037037E-2</v>
      </c>
      <c r="AA90" s="35">
        <v>0</v>
      </c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55</v>
      </c>
      <c r="C91" s="63" t="str">
        <f>VLOOKUP(B91,STARTOVKA,2,0)</f>
        <v>POL19981009</v>
      </c>
      <c r="D91" s="64" t="str">
        <f>VLOOKUP(B91,STARTOVKA,3,0)</f>
        <v>FABIAN Marcel</v>
      </c>
      <c r="E91" s="65" t="str">
        <f>VLOOKUP(B91,STARTOVKA,4,0)</f>
        <v>GRUPA KOLARSKA GLIWICE BA</v>
      </c>
      <c r="F91" s="66" t="str">
        <f>VLOOKUP(B91,STARTOVKA,5,0)</f>
        <v>SLA012</v>
      </c>
      <c r="G91" s="67" t="str">
        <f>VLOOKUP(B91,STARTOVKA,6,0)</f>
        <v>CADET</v>
      </c>
      <c r="H91" s="67" t="str">
        <f>VLOOKUP(B91,STARTOVKA,7,0)</f>
        <v>GLI</v>
      </c>
      <c r="I91" s="199">
        <f>SUM(R91,V91,Z91,AD91)-SUM(S91,W91,AA91,AE91)+AF91</f>
        <v>0.16725935185185187</v>
      </c>
      <c r="J91" s="31">
        <f>I91-$I$12</f>
        <v>5.4737384259259392E-3</v>
      </c>
      <c r="K91" s="31"/>
      <c r="M91" s="69">
        <f>A91</f>
        <v>80</v>
      </c>
      <c r="P91" s="36">
        <v>54</v>
      </c>
      <c r="Q91" s="43">
        <v>55</v>
      </c>
      <c r="R91" s="41">
        <v>7.8287037037037044E-2</v>
      </c>
      <c r="S91" s="35">
        <v>0</v>
      </c>
      <c r="T91" s="37">
        <v>33</v>
      </c>
      <c r="U91" s="44">
        <v>55</v>
      </c>
      <c r="V91" s="240">
        <v>7.2709259259259237E-3</v>
      </c>
      <c r="W91" s="38"/>
      <c r="X91" s="36">
        <v>89</v>
      </c>
      <c r="Y91" s="43">
        <v>55</v>
      </c>
      <c r="Z91" s="41">
        <v>8.1701388888888893E-2</v>
      </c>
      <c r="AA91" s="35">
        <v>0</v>
      </c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149</v>
      </c>
      <c r="C92" s="63" t="str">
        <f>VLOOKUP(B92,STARTOVKA,2,0)</f>
        <v>CZE19981228</v>
      </c>
      <c r="D92" s="64" t="str">
        <f>VLOOKUP(B92,STARTOVKA,3,0)</f>
        <v xml:space="preserve">WAGNER Jakub </v>
      </c>
      <c r="E92" s="65" t="str">
        <f>VLOOKUP(B92,STARTOVKA,4,0)</f>
        <v xml:space="preserve">MAPEI CYKLO KAŇKOVSKÝ </v>
      </c>
      <c r="F92" s="66">
        <f>VLOOKUP(B92,STARTOVKA,5,0)</f>
        <v>14090</v>
      </c>
      <c r="G92" s="67" t="str">
        <f>VLOOKUP(B92,STARTOVKA,6,0)</f>
        <v>CADET</v>
      </c>
      <c r="H92" s="67" t="str">
        <f>VLOOKUP(B92,STARTOVKA,7,0)</f>
        <v>MAP</v>
      </c>
      <c r="I92" s="199">
        <f>SUM(R92,V92,Z92,AD92)-SUM(S92,W92,AA92,AE92)+AF92</f>
        <v>0.16730422453703708</v>
      </c>
      <c r="J92" s="31">
        <f>I92-$I$12</f>
        <v>5.5186111111111547E-3</v>
      </c>
      <c r="K92" s="31"/>
      <c r="M92" s="69">
        <f>A92</f>
        <v>81</v>
      </c>
      <c r="P92" s="36">
        <v>58</v>
      </c>
      <c r="Q92" s="43">
        <v>149</v>
      </c>
      <c r="R92" s="41">
        <v>7.8287037037037044E-2</v>
      </c>
      <c r="S92" s="35">
        <v>0</v>
      </c>
      <c r="T92" s="37">
        <v>96</v>
      </c>
      <c r="U92" s="44">
        <v>149</v>
      </c>
      <c r="V92" s="240">
        <v>8.0218171296296478E-3</v>
      </c>
      <c r="W92" s="38"/>
      <c r="X92" s="36">
        <v>79</v>
      </c>
      <c r="Y92" s="43">
        <v>149</v>
      </c>
      <c r="Z92" s="41">
        <v>8.099537037037037E-2</v>
      </c>
      <c r="AA92" s="35">
        <v>0</v>
      </c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184</v>
      </c>
      <c r="C93" s="63" t="str">
        <f>VLOOKUP(B93,STARTOVKA,2,0)</f>
        <v>AUT19961024</v>
      </c>
      <c r="D93" s="64" t="str">
        <f>VLOOKUP(B93,STARTOVKA,3,0)</f>
        <v>STATTMANN Lukas</v>
      </c>
      <c r="E93" s="65" t="str">
        <f>VLOOKUP(B93,STARTOVKA,4,0)</f>
        <v xml:space="preserve">LRV STEIERMARK </v>
      </c>
      <c r="F93" s="66">
        <f>VLOOKUP(B93,STARTOVKA,5,0)</f>
        <v>100830</v>
      </c>
      <c r="G93" s="67" t="str">
        <f>VLOOKUP(B93,STARTOVKA,6,0)</f>
        <v>JUNIOR</v>
      </c>
      <c r="H93" s="67" t="str">
        <f>VLOOKUP(B93,STARTOVKA,7,0)</f>
        <v>LRV</v>
      </c>
      <c r="I93" s="199">
        <f>SUM(R93,V93,Z93,AD93)-SUM(S93,W93,AA93,AE93)+AF93</f>
        <v>0.16732493055555553</v>
      </c>
      <c r="J93" s="31">
        <f>I93-$I$12</f>
        <v>5.5393171296296007E-3</v>
      </c>
      <c r="K93" s="31"/>
      <c r="M93" s="69">
        <f>A93</f>
        <v>82</v>
      </c>
      <c r="P93" s="36">
        <v>96</v>
      </c>
      <c r="Q93" s="43">
        <v>184</v>
      </c>
      <c r="R93" s="41">
        <v>7.8287037037037044E-2</v>
      </c>
      <c r="S93" s="35">
        <v>0</v>
      </c>
      <c r="T93" s="37">
        <v>108</v>
      </c>
      <c r="U93" s="44">
        <v>184</v>
      </c>
      <c r="V93" s="240">
        <v>8.2277083333333126E-3</v>
      </c>
      <c r="W93" s="38"/>
      <c r="X93" s="36">
        <v>77</v>
      </c>
      <c r="Y93" s="43">
        <v>184</v>
      </c>
      <c r="Z93" s="41">
        <v>8.0810185185185179E-2</v>
      </c>
      <c r="AA93" s="35">
        <v>0</v>
      </c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65</v>
      </c>
      <c r="C94" s="63" t="str">
        <f>VLOOKUP(B94,STARTOVKA,2,0)</f>
        <v>POL19970608</v>
      </c>
      <c r="D94" s="64" t="str">
        <f>VLOOKUP(B94,STARTOVKA,3,0)</f>
        <v>BISKUP Bartosz</v>
      </c>
      <c r="E94" s="65" t="str">
        <f>VLOOKUP(B94,STARTOVKA,4,0)</f>
        <v xml:space="preserve">DSR AUTHOR GÓRNIK WAŁBRZYCH </v>
      </c>
      <c r="F94" s="66" t="str">
        <f>VLOOKUP(B94,STARTOVKA,5,0)</f>
        <v>DLS272</v>
      </c>
      <c r="G94" s="67" t="str">
        <f>VLOOKUP(B94,STARTOVKA,6,0)</f>
        <v>JUNIOR*</v>
      </c>
      <c r="H94" s="67" t="str">
        <f>VLOOKUP(B94,STARTOVKA,7,0)</f>
        <v>GOR</v>
      </c>
      <c r="I94" s="199">
        <f>SUM(R94,V94,Z94,AD94)-SUM(S94,W94,AA94,AE94)+AF94</f>
        <v>0.16733035879629632</v>
      </c>
      <c r="J94" s="31">
        <f>I94-$I$12</f>
        <v>5.5447453703703908E-3</v>
      </c>
      <c r="K94" s="31"/>
      <c r="M94" s="69">
        <f>A94</f>
        <v>83</v>
      </c>
      <c r="P94" s="36">
        <v>93</v>
      </c>
      <c r="Q94" s="43">
        <v>65</v>
      </c>
      <c r="R94" s="41">
        <v>7.8287037037037044E-2</v>
      </c>
      <c r="S94" s="35">
        <v>0</v>
      </c>
      <c r="T94" s="37">
        <v>99</v>
      </c>
      <c r="U94" s="44">
        <v>65</v>
      </c>
      <c r="V94" s="240">
        <v>8.0479513888888979E-3</v>
      </c>
      <c r="W94" s="38"/>
      <c r="X94" s="36">
        <v>84</v>
      </c>
      <c r="Y94" s="43">
        <v>65</v>
      </c>
      <c r="Z94" s="41">
        <v>8.099537037037037E-2</v>
      </c>
      <c r="AA94" s="35">
        <v>0</v>
      </c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24</v>
      </c>
      <c r="C95" s="63" t="str">
        <f>VLOOKUP(B95,STARTOVKA,2,0)</f>
        <v>GER19980223</v>
      </c>
      <c r="D95" s="64" t="str">
        <f>VLOOKUP(B95,STARTOVKA,3,0)</f>
        <v>PLAMBECK Philipp</v>
      </c>
      <c r="E95" s="65" t="str">
        <f>VLOOKUP(B95,STARTOVKA,4,0)</f>
        <v>RG BERLIN</v>
      </c>
      <c r="F95" s="66" t="str">
        <f>VLOOKUP(B95,STARTOVKA,5,0)</f>
        <v>HAM062726</v>
      </c>
      <c r="G95" s="67" t="str">
        <f>VLOOKUP(B95,STARTOVKA,6,0)</f>
        <v>CADET</v>
      </c>
      <c r="H95" s="67" t="str">
        <f>VLOOKUP(B95,STARTOVKA,7,0)</f>
        <v>RGB</v>
      </c>
      <c r="I95" s="199">
        <f>SUM(R95,V95,Z95,AD95)-SUM(S95,W95,AA95,AE95)+AF95</f>
        <v>0.16764953703703711</v>
      </c>
      <c r="J95" s="31">
        <f>I95-$I$12</f>
        <v>5.8639236111111825E-3</v>
      </c>
      <c r="K95" s="31"/>
      <c r="M95" s="69">
        <f>A95</f>
        <v>84</v>
      </c>
      <c r="P95" s="36">
        <v>34</v>
      </c>
      <c r="Q95" s="43">
        <v>24</v>
      </c>
      <c r="R95" s="41">
        <v>7.8287037037037044E-2</v>
      </c>
      <c r="S95" s="35">
        <v>0</v>
      </c>
      <c r="T95" s="37">
        <v>47</v>
      </c>
      <c r="U95" s="44">
        <v>24</v>
      </c>
      <c r="V95" s="240">
        <v>7.4296296296296679E-3</v>
      </c>
      <c r="W95" s="38"/>
      <c r="X95" s="36">
        <v>92</v>
      </c>
      <c r="Y95" s="43">
        <v>24</v>
      </c>
      <c r="Z95" s="41">
        <v>8.1932870370370378E-2</v>
      </c>
      <c r="AA95" s="35">
        <v>0</v>
      </c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6</v>
      </c>
      <c r="C96" s="63" t="str">
        <f>VLOOKUP(B96,STARTOVKA,2,0)</f>
        <v>GER19970811</v>
      </c>
      <c r="D96" s="64" t="str">
        <f>VLOOKUP(B96,STARTOVKA,3,0)</f>
        <v>LINTZEL Philip</v>
      </c>
      <c r="E96" s="65" t="str">
        <f>VLOOKUP(B96,STARTOVKA,4,0)</f>
        <v>RSC TURBINE ERFURT</v>
      </c>
      <c r="F96" s="66" t="str">
        <f>VLOOKUP(B96,STARTOVKA,5,0)</f>
        <v>THÜ173079</v>
      </c>
      <c r="G96" s="67" t="str">
        <f>VLOOKUP(B96,STARTOVKA,6,0)</f>
        <v>JUNIOR*</v>
      </c>
      <c r="H96" s="67" t="str">
        <f>VLOOKUP(B96,STARTOVKA,7,0)</f>
        <v>TUR</v>
      </c>
      <c r="I96" s="199">
        <f>SUM(R96,V96,Z96,AD96)-SUM(S96,W96,AA96,AE96)+AF96</f>
        <v>0.16765681712962963</v>
      </c>
      <c r="J96" s="31">
        <f>I96-$I$12</f>
        <v>5.8712037037036979E-3</v>
      </c>
      <c r="K96" s="31"/>
      <c r="M96" s="69">
        <f>A96</f>
        <v>85</v>
      </c>
      <c r="P96" s="36">
        <v>52</v>
      </c>
      <c r="Q96" s="43">
        <v>6</v>
      </c>
      <c r="R96" s="41">
        <v>7.8287037037037044E-2</v>
      </c>
      <c r="S96" s="35">
        <v>0</v>
      </c>
      <c r="T96" s="37">
        <v>72</v>
      </c>
      <c r="U96" s="44">
        <v>6</v>
      </c>
      <c r="V96" s="240">
        <v>7.7031134259259101E-3</v>
      </c>
      <c r="W96" s="38"/>
      <c r="X96" s="36">
        <v>86</v>
      </c>
      <c r="Y96" s="43">
        <v>6</v>
      </c>
      <c r="Z96" s="41">
        <v>8.1666666666666665E-2</v>
      </c>
      <c r="AA96" s="35">
        <v>0</v>
      </c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35</v>
      </c>
      <c r="C97" s="63" t="str">
        <f>VLOOKUP(B97,STARTOVKA,2,0)</f>
        <v>CZE19970320</v>
      </c>
      <c r="D97" s="64" t="str">
        <f>VLOOKUP(B97,STARTOVKA,3,0)</f>
        <v xml:space="preserve">KUTIŠ Martin </v>
      </c>
      <c r="E97" s="65" t="str">
        <f>VLOOKUP(B97,STARTOVKA,4,0)</f>
        <v>ALLTRAINING.CZ</v>
      </c>
      <c r="F97" s="66">
        <f>VLOOKUP(B97,STARTOVKA,5,0)</f>
        <v>19969</v>
      </c>
      <c r="G97" s="67" t="str">
        <f>VLOOKUP(B97,STARTOVKA,6,0)</f>
        <v>JUNIOR*</v>
      </c>
      <c r="H97" s="67" t="str">
        <f>VLOOKUP(B97,STARTOVKA,7,0)</f>
        <v>REM</v>
      </c>
      <c r="I97" s="199">
        <f>SUM(R97,V97,Z97,AD97)-SUM(S97,W97,AA97,AE97)+AF97</f>
        <v>0.16768244212962963</v>
      </c>
      <c r="J97" s="31">
        <f>I97-$I$12</f>
        <v>5.8968287037036993E-3</v>
      </c>
      <c r="K97" s="31"/>
      <c r="M97" s="69">
        <f>A97</f>
        <v>86</v>
      </c>
      <c r="P97" s="36">
        <v>91</v>
      </c>
      <c r="Q97" s="43">
        <v>35</v>
      </c>
      <c r="R97" s="41">
        <v>7.8287037037037044E-2</v>
      </c>
      <c r="S97" s="35">
        <v>0</v>
      </c>
      <c r="T97" s="37">
        <v>75</v>
      </c>
      <c r="U97" s="44">
        <v>35</v>
      </c>
      <c r="V97" s="240">
        <v>7.7287384259259323E-3</v>
      </c>
      <c r="W97" s="38"/>
      <c r="X97" s="36">
        <v>87</v>
      </c>
      <c r="Y97" s="43">
        <v>35</v>
      </c>
      <c r="Z97" s="41">
        <v>8.1666666666666665E-2</v>
      </c>
      <c r="AA97" s="35">
        <v>0</v>
      </c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14</v>
      </c>
      <c r="C98" s="63" t="str">
        <f>VLOOKUP(B98,STARTOVKA,2,0)</f>
        <v>GER19970806</v>
      </c>
      <c r="D98" s="64" t="str">
        <f>VLOOKUP(B98,STARTOVKA,3,0)</f>
        <v>BINAY Noah</v>
      </c>
      <c r="E98" s="65" t="str">
        <f>VLOOKUP(B98,STARTOVKA,4,0)</f>
        <v>JUNIOREN SCHWALBE TEAM SACHSEN</v>
      </c>
      <c r="F98" s="66" t="str">
        <f>VLOOKUP(B98,STARTOVKA,5,0)</f>
        <v>SAC 142218</v>
      </c>
      <c r="G98" s="67" t="str">
        <f>VLOOKUP(B98,STARTOVKA,6,0)</f>
        <v>JUNIOR*</v>
      </c>
      <c r="H98" s="67" t="str">
        <f>VLOOKUP(B98,STARTOVKA,7,0)</f>
        <v>SCW</v>
      </c>
      <c r="I98" s="199">
        <f>SUM(R98,V98,Z98,AD98)-SUM(S98,W98,AA98,AE98)+AF98</f>
        <v>0.16769312499999997</v>
      </c>
      <c r="J98" s="31">
        <f>I98-$I$12</f>
        <v>5.9075115740740425E-3</v>
      </c>
      <c r="K98" s="31"/>
      <c r="M98" s="69">
        <f>A98</f>
        <v>87</v>
      </c>
      <c r="P98" s="36">
        <v>59</v>
      </c>
      <c r="Q98" s="43">
        <v>14</v>
      </c>
      <c r="R98" s="41">
        <v>7.8287037037037044E-2</v>
      </c>
      <c r="S98" s="35">
        <v>0</v>
      </c>
      <c r="T98" s="37">
        <v>116</v>
      </c>
      <c r="U98" s="44">
        <v>14</v>
      </c>
      <c r="V98" s="240">
        <v>8.5959027777777544E-3</v>
      </c>
      <c r="W98" s="38"/>
      <c r="X98" s="36">
        <v>78</v>
      </c>
      <c r="Y98" s="43">
        <v>14</v>
      </c>
      <c r="Z98" s="41">
        <v>8.0810185185185179E-2</v>
      </c>
      <c r="AA98" s="35">
        <v>0</v>
      </c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81</v>
      </c>
      <c r="C99" s="63" t="str">
        <f>VLOOKUP(B99,STARTOVKA,2,0)</f>
        <v>CZE19980303</v>
      </c>
      <c r="D99" s="64" t="str">
        <f>VLOOKUP(B99,STARTOVKA,3,0)</f>
        <v xml:space="preserve">KOUDELA Dominik </v>
      </c>
      <c r="E99" s="65" t="str">
        <f>VLOOKUP(B99,STARTOVKA,4,0)</f>
        <v xml:space="preserve">TJ KOVO PRAHA </v>
      </c>
      <c r="F99" s="66">
        <f>VLOOKUP(B99,STARTOVKA,5,0)</f>
        <v>13590</v>
      </c>
      <c r="G99" s="67" t="str">
        <f>VLOOKUP(B99,STARTOVKA,6,0)</f>
        <v>CADET</v>
      </c>
      <c r="H99" s="67" t="str">
        <f>VLOOKUP(B99,STARTOVKA,7,0)</f>
        <v>KOV</v>
      </c>
      <c r="I99" s="199">
        <f>SUM(R99,V99,Z99,AD99)-SUM(S99,W99,AA99,AE99)+AF99</f>
        <v>0.16769667824074072</v>
      </c>
      <c r="J99" s="31">
        <f>I99-$I$12</f>
        <v>5.9110648148147926E-3</v>
      </c>
      <c r="K99" s="31"/>
      <c r="M99" s="69">
        <f>A99</f>
        <v>88</v>
      </c>
      <c r="P99" s="36">
        <v>85</v>
      </c>
      <c r="Q99" s="43">
        <v>81</v>
      </c>
      <c r="R99" s="41">
        <v>7.8287037037037044E-2</v>
      </c>
      <c r="S99" s="35">
        <v>0</v>
      </c>
      <c r="T99" s="37">
        <v>73</v>
      </c>
      <c r="U99" s="44">
        <v>81</v>
      </c>
      <c r="V99" s="240">
        <v>7.7082523148147807E-3</v>
      </c>
      <c r="W99" s="38"/>
      <c r="X99" s="36">
        <v>88</v>
      </c>
      <c r="Y99" s="43">
        <v>81</v>
      </c>
      <c r="Z99" s="41">
        <v>8.1701388888888893E-2</v>
      </c>
      <c r="AA99" s="35">
        <v>0</v>
      </c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63</v>
      </c>
      <c r="C100" s="63" t="str">
        <f>VLOOKUP(B100,STARTOVKA,2,0)</f>
        <v>POL19960116</v>
      </c>
      <c r="D100" s="64" t="str">
        <f>VLOOKUP(B100,STARTOVKA,3,0)</f>
        <v>GORZAWSKI Kamil</v>
      </c>
      <c r="E100" s="65" t="str">
        <f>VLOOKUP(B100,STARTOVKA,4,0)</f>
        <v xml:space="preserve">DSR AUTHOR GÓRNIK WAŁBRZYCH </v>
      </c>
      <c r="F100" s="66" t="str">
        <f>VLOOKUP(B100,STARTOVKA,5,0)</f>
        <v>DLS164</v>
      </c>
      <c r="G100" s="67" t="str">
        <f>VLOOKUP(B100,STARTOVKA,6,0)</f>
        <v>JUNIOR</v>
      </c>
      <c r="H100" s="67" t="str">
        <f>VLOOKUP(B100,STARTOVKA,7,0)</f>
        <v>GOR</v>
      </c>
      <c r="I100" s="199">
        <f>SUM(R100,V100,Z100,AD100)-SUM(S100,W100,AA100,AE100)+AF100</f>
        <v>0.16779526620370369</v>
      </c>
      <c r="J100" s="31">
        <f>I100-$I$12</f>
        <v>6.0096527777777631E-3</v>
      </c>
      <c r="K100" s="31"/>
      <c r="M100" s="69">
        <f>A100</f>
        <v>89</v>
      </c>
      <c r="P100" s="36">
        <v>35</v>
      </c>
      <c r="Q100" s="43">
        <v>63</v>
      </c>
      <c r="R100" s="41">
        <v>7.8287037037037044E-2</v>
      </c>
      <c r="S100" s="35">
        <v>0</v>
      </c>
      <c r="T100" s="37">
        <v>64</v>
      </c>
      <c r="U100" s="44">
        <v>63</v>
      </c>
      <c r="V100" s="240">
        <v>7.6216550925925844E-3</v>
      </c>
      <c r="W100" s="38"/>
      <c r="X100" s="36">
        <v>91</v>
      </c>
      <c r="Y100" s="43">
        <v>63</v>
      </c>
      <c r="Z100" s="41">
        <v>8.188657407407407E-2</v>
      </c>
      <c r="AA100" s="35">
        <v>0</v>
      </c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113</v>
      </c>
      <c r="C101" s="63" t="str">
        <f>VLOOKUP(B101,STARTOVKA,2,0)</f>
        <v>GER19961002</v>
      </c>
      <c r="D101" s="64" t="str">
        <f>VLOOKUP(B101,STARTOVKA,3,0)</f>
        <v>ROHDE Louis</v>
      </c>
      <c r="E101" s="65" t="str">
        <f>VLOOKUP(B101,STARTOVKA,4,0)</f>
        <v>TEAM BRANDENBURG - RSC COTTBUS</v>
      </c>
      <c r="F101" s="66" t="str">
        <f>VLOOKUP(B101,STARTOVKA,5,0)</f>
        <v>062094-11</v>
      </c>
      <c r="G101" s="67" t="str">
        <f>VLOOKUP(B101,STARTOVKA,6,0)</f>
        <v>JUNIOR</v>
      </c>
      <c r="H101" s="67" t="str">
        <f>VLOOKUP(B101,STARTOVKA,7,0)</f>
        <v>COT</v>
      </c>
      <c r="I101" s="199">
        <f>SUM(R101,V101,Z101,AD101)-SUM(S101,W101,AA101,AE101)+AF101</f>
        <v>0.16818173611111109</v>
      </c>
      <c r="J101" s="31">
        <f>I101-$I$12</f>
        <v>6.3961226851851627E-3</v>
      </c>
      <c r="K101" s="31"/>
      <c r="M101" s="69">
        <f>A101</f>
        <v>90</v>
      </c>
      <c r="P101" s="36">
        <v>5</v>
      </c>
      <c r="Q101" s="43">
        <v>113</v>
      </c>
      <c r="R101" s="41">
        <v>7.8287037037037044E-2</v>
      </c>
      <c r="S101" s="35">
        <v>0</v>
      </c>
      <c r="T101" s="37">
        <v>95</v>
      </c>
      <c r="U101" s="44">
        <v>113</v>
      </c>
      <c r="V101" s="240">
        <v>8.0081249999999632E-3</v>
      </c>
      <c r="W101" s="38"/>
      <c r="X101" s="36">
        <v>90</v>
      </c>
      <c r="Y101" s="43">
        <v>113</v>
      </c>
      <c r="Z101" s="41">
        <v>8.188657407407407E-2</v>
      </c>
      <c r="AA101" s="35">
        <v>0</v>
      </c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10</v>
      </c>
      <c r="C102" s="63" t="str">
        <f>VLOOKUP(B102,STARTOVKA,2,0)</f>
        <v>GER19970316</v>
      </c>
      <c r="D102" s="64" t="str">
        <f>VLOOKUP(B102,STARTOVKA,3,0)</f>
        <v>WELTZ Niclas</v>
      </c>
      <c r="E102" s="65" t="str">
        <f>VLOOKUP(B102,STARTOVKA,4,0)</f>
        <v>RSC TURBINE ERFURT</v>
      </c>
      <c r="F102" s="66" t="str">
        <f>VLOOKUP(B102,STARTOVKA,5,0)</f>
        <v>THÜ173103</v>
      </c>
      <c r="G102" s="67" t="str">
        <f>VLOOKUP(B102,STARTOVKA,6,0)</f>
        <v>JUNIOR*</v>
      </c>
      <c r="H102" s="67" t="str">
        <f>VLOOKUP(B102,STARTOVKA,7,0)</f>
        <v>TUR</v>
      </c>
      <c r="I102" s="199">
        <f>SUM(R102,V102,Z102,AD102)-SUM(S102,W102,AA102,AE102)+AF102</f>
        <v>0.16818972222222223</v>
      </c>
      <c r="J102" s="31">
        <f>I102-$I$12</f>
        <v>6.4041087962962984E-3</v>
      </c>
      <c r="K102" s="31"/>
      <c r="M102" s="69">
        <f>A102</f>
        <v>91</v>
      </c>
      <c r="P102" s="36">
        <v>89</v>
      </c>
      <c r="Q102" s="43">
        <v>10</v>
      </c>
      <c r="R102" s="41">
        <v>7.8287037037037044E-2</v>
      </c>
      <c r="S102" s="35">
        <v>0</v>
      </c>
      <c r="T102" s="37">
        <v>91</v>
      </c>
      <c r="U102" s="44">
        <v>10</v>
      </c>
      <c r="V102" s="240">
        <v>7.9698148148148046E-3</v>
      </c>
      <c r="W102" s="38"/>
      <c r="X102" s="36">
        <v>93</v>
      </c>
      <c r="Y102" s="43">
        <v>10</v>
      </c>
      <c r="Z102" s="41">
        <v>8.1932870370370378E-2</v>
      </c>
      <c r="AA102" s="35">
        <v>0</v>
      </c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48</v>
      </c>
      <c r="C103" s="63" t="str">
        <f>VLOOKUP(B103,STARTOVKA,2,0)</f>
        <v>CZE19981009</v>
      </c>
      <c r="D103" s="64" t="str">
        <f>VLOOKUP(B103,STARTOVKA,3,0)</f>
        <v xml:space="preserve">SIRŮČEK Václav </v>
      </c>
      <c r="E103" s="65" t="str">
        <f>VLOOKUP(B103,STARTOVKA,4,0)</f>
        <v>KC KOOPERATIVA SG JABLONEC N.N</v>
      </c>
      <c r="F103" s="66">
        <f>VLOOKUP(B103,STARTOVKA,5,0)</f>
        <v>8749</v>
      </c>
      <c r="G103" s="67" t="str">
        <f>VLOOKUP(B103,STARTOVKA,6,0)</f>
        <v>CADET</v>
      </c>
      <c r="H103" s="67" t="str">
        <f>VLOOKUP(B103,STARTOVKA,7,0)</f>
        <v>KOO</v>
      </c>
      <c r="I103" s="199">
        <f>SUM(R103,V103,Z103,AD103)-SUM(S103,W103,AA103,AE103)+AF103</f>
        <v>0.16842615740740741</v>
      </c>
      <c r="J103" s="31">
        <f>I103-$I$12</f>
        <v>6.6405439814814782E-3</v>
      </c>
      <c r="K103" s="31"/>
      <c r="M103" s="69">
        <f>A103</f>
        <v>92</v>
      </c>
      <c r="P103" s="36">
        <v>30</v>
      </c>
      <c r="Q103" s="43">
        <v>48</v>
      </c>
      <c r="R103" s="41">
        <v>7.8287037037037044E-2</v>
      </c>
      <c r="S103" s="35">
        <v>0</v>
      </c>
      <c r="T103" s="37">
        <v>62</v>
      </c>
      <c r="U103" s="44">
        <v>48</v>
      </c>
      <c r="V103" s="240">
        <v>7.5696759259259103E-3</v>
      </c>
      <c r="W103" s="38"/>
      <c r="X103" s="36">
        <v>94</v>
      </c>
      <c r="Y103" s="43">
        <v>48</v>
      </c>
      <c r="Z103" s="41">
        <v>8.2569444444444445E-2</v>
      </c>
      <c r="AA103" s="35">
        <v>0</v>
      </c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162</v>
      </c>
      <c r="C104" s="63" t="str">
        <f>VLOOKUP(B104,STARTOVKA,2,0)</f>
        <v>RUS19971119</v>
      </c>
      <c r="D104" s="64" t="str">
        <f>VLOOKUP(B104,STARTOVKA,3,0)</f>
        <v>NECHAEV Vladislav</v>
      </c>
      <c r="E104" s="65" t="str">
        <f>VLOOKUP(B104,STARTOVKA,4,0)</f>
        <v>RUSSIAN CYCLING FEDERATION</v>
      </c>
      <c r="F104" s="66" t="str">
        <f>VLOOKUP(B104,STARTOVKA,5,0)</f>
        <v>B0275</v>
      </c>
      <c r="G104" s="67" t="str">
        <f>VLOOKUP(B104,STARTOVKA,6,0)</f>
        <v>JUNIOR*</v>
      </c>
      <c r="H104" s="67" t="str">
        <f>VLOOKUP(B104,STARTOVKA,7,0)</f>
        <v>RUS</v>
      </c>
      <c r="I104" s="199">
        <f>SUM(R104,V104,Z104,AD104)-SUM(S104,W104,AA104,AE104)+AF104</f>
        <v>0.16892224537037043</v>
      </c>
      <c r="J104" s="31">
        <f>I104-$I$12</f>
        <v>7.1366319444444992E-3</v>
      </c>
      <c r="K104" s="31"/>
      <c r="M104" s="69">
        <f>A104</f>
        <v>93</v>
      </c>
      <c r="P104" s="36">
        <v>44</v>
      </c>
      <c r="Q104" s="43">
        <v>162</v>
      </c>
      <c r="R104" s="41">
        <v>7.8287037037037044E-2</v>
      </c>
      <c r="S104" s="35">
        <v>0</v>
      </c>
      <c r="T104" s="37">
        <v>28</v>
      </c>
      <c r="U104" s="44">
        <v>162</v>
      </c>
      <c r="V104" s="240">
        <v>7.1977083333333788E-3</v>
      </c>
      <c r="W104" s="38"/>
      <c r="X104" s="36">
        <v>100</v>
      </c>
      <c r="Y104" s="43">
        <v>162</v>
      </c>
      <c r="Z104" s="41">
        <v>8.3437499999999998E-2</v>
      </c>
      <c r="AA104" s="35">
        <v>0</v>
      </c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145</v>
      </c>
      <c r="C105" s="63" t="str">
        <f>VLOOKUP(B105,STARTOVKA,2,0)</f>
        <v>CZE19961105</v>
      </c>
      <c r="D105" s="64" t="str">
        <f>VLOOKUP(B105,STARTOVKA,3,0)</f>
        <v xml:space="preserve">MUŽ Jan </v>
      </c>
      <c r="E105" s="65" t="str">
        <f>VLOOKUP(B105,STARTOVKA,4,0)</f>
        <v xml:space="preserve">MAPEI CYKLO KAŇKOVSKÝ </v>
      </c>
      <c r="F105" s="66">
        <f>VLOOKUP(B105,STARTOVKA,5,0)</f>
        <v>19338</v>
      </c>
      <c r="G105" s="67" t="str">
        <f>VLOOKUP(B105,STARTOVKA,6,0)</f>
        <v>JUNIOR</v>
      </c>
      <c r="H105" s="67" t="str">
        <f>VLOOKUP(B105,STARTOVKA,7,0)</f>
        <v>MAP</v>
      </c>
      <c r="I105" s="199">
        <f>SUM(R105,V105,Z105,AD105)-SUM(S105,W105,AA105,AE105)+AF105</f>
        <v>0.16898527777777775</v>
      </c>
      <c r="J105" s="31">
        <f>I105-$I$12</f>
        <v>7.19966435185182E-3</v>
      </c>
      <c r="K105" s="31"/>
      <c r="M105" s="69">
        <f>A105</f>
        <v>94</v>
      </c>
      <c r="P105" s="36">
        <v>83</v>
      </c>
      <c r="Q105" s="43">
        <v>145</v>
      </c>
      <c r="R105" s="41">
        <v>7.8287037037037044E-2</v>
      </c>
      <c r="S105" s="35">
        <v>0</v>
      </c>
      <c r="T105" s="37">
        <v>105</v>
      </c>
      <c r="U105" s="44">
        <v>145</v>
      </c>
      <c r="V105" s="240">
        <v>8.1287962962962521E-3</v>
      </c>
      <c r="W105" s="38"/>
      <c r="X105" s="36">
        <v>98</v>
      </c>
      <c r="Y105" s="43">
        <v>145</v>
      </c>
      <c r="Z105" s="41">
        <v>8.2569444444444445E-2</v>
      </c>
      <c r="AA105" s="35">
        <v>0</v>
      </c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5</v>
      </c>
      <c r="C106" s="63" t="str">
        <f>VLOOKUP(B106,STARTOVKA,2,0)</f>
        <v>GER19960418</v>
      </c>
      <c r="D106" s="64" t="str">
        <f>VLOOKUP(B106,STARTOVKA,3,0)</f>
        <v>JÄGELER Robert</v>
      </c>
      <c r="E106" s="65" t="str">
        <f>VLOOKUP(B106,STARTOVKA,4,0)</f>
        <v>RV ELXLEBEN</v>
      </c>
      <c r="F106" s="66" t="str">
        <f>VLOOKUP(B106,STARTOVKA,5,0)</f>
        <v>THÜ172211</v>
      </c>
      <c r="G106" s="67" t="str">
        <f>VLOOKUP(B106,STARTOVKA,6,0)</f>
        <v>JUNIOR</v>
      </c>
      <c r="H106" s="67" t="str">
        <f>VLOOKUP(B106,STARTOVKA,7,0)</f>
        <v>TUR</v>
      </c>
      <c r="I106" s="199">
        <f>SUM(R106,V106,Z106,AD106)-SUM(S106,W106,AA106,AE106)+AF106</f>
        <v>0.16900348379629626</v>
      </c>
      <c r="J106" s="31">
        <f>I106-$I$12</f>
        <v>7.2178703703703329E-3</v>
      </c>
      <c r="K106" s="31"/>
      <c r="M106" s="69">
        <f>A106</f>
        <v>95</v>
      </c>
      <c r="P106" s="36">
        <v>19</v>
      </c>
      <c r="Q106" s="43">
        <v>5</v>
      </c>
      <c r="R106" s="41">
        <v>7.8287037037037044E-2</v>
      </c>
      <c r="S106" s="35">
        <v>0</v>
      </c>
      <c r="T106" s="37">
        <v>22</v>
      </c>
      <c r="U106" s="44">
        <v>5</v>
      </c>
      <c r="V106" s="240">
        <v>7.1516319444444171E-3</v>
      </c>
      <c r="W106" s="38"/>
      <c r="X106" s="36">
        <v>106</v>
      </c>
      <c r="Y106" s="43">
        <v>5</v>
      </c>
      <c r="Z106" s="41">
        <v>8.3564814814814814E-2</v>
      </c>
      <c r="AA106" s="35">
        <v>0</v>
      </c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114</v>
      </c>
      <c r="C107" s="63" t="str">
        <f>VLOOKUP(B107,STARTOVKA,2,0)</f>
        <v>GER19960823</v>
      </c>
      <c r="D107" s="64" t="str">
        <f>VLOOKUP(B107,STARTOVKA,3,0)</f>
        <v>SCHLOTT Julius</v>
      </c>
      <c r="E107" s="65" t="str">
        <f>VLOOKUP(B107,STARTOVKA,4,0)</f>
        <v>TEAM BRANDENBURG - RSC COTTBUS</v>
      </c>
      <c r="F107" s="66" t="str">
        <f>VLOOKUP(B107,STARTOVKA,5,0)</f>
        <v>044086-11</v>
      </c>
      <c r="G107" s="67" t="str">
        <f>VLOOKUP(B107,STARTOVKA,6,0)</f>
        <v>JUNIOR</v>
      </c>
      <c r="H107" s="67" t="str">
        <f>VLOOKUP(B107,STARTOVKA,7,0)</f>
        <v>COT</v>
      </c>
      <c r="I107" s="199">
        <f>SUM(R107,V107,Z107,AD107)-SUM(S107,W107,AA107,AE107)+AF107</f>
        <v>0.16903931712962961</v>
      </c>
      <c r="J107" s="31">
        <f>I107-$I$12</f>
        <v>7.2537037037036789E-3</v>
      </c>
      <c r="K107" s="31"/>
      <c r="M107" s="69">
        <f>A107</f>
        <v>96</v>
      </c>
      <c r="P107" s="36">
        <v>67</v>
      </c>
      <c r="Q107" s="43">
        <v>114</v>
      </c>
      <c r="R107" s="41">
        <v>7.8287037037037044E-2</v>
      </c>
      <c r="S107" s="35">
        <v>0</v>
      </c>
      <c r="T107" s="37">
        <v>27</v>
      </c>
      <c r="U107" s="44">
        <v>114</v>
      </c>
      <c r="V107" s="240">
        <v>7.1874652777777492E-3</v>
      </c>
      <c r="W107" s="38"/>
      <c r="X107" s="36">
        <v>107</v>
      </c>
      <c r="Y107" s="43">
        <v>114</v>
      </c>
      <c r="Z107" s="41">
        <v>8.3564814814814814E-2</v>
      </c>
      <c r="AA107" s="35">
        <v>0</v>
      </c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73</v>
      </c>
      <c r="C108" s="63" t="str">
        <f>VLOOKUP(B108,STARTOVKA,2,0)</f>
        <v>SVK19970207</v>
      </c>
      <c r="D108" s="64" t="str">
        <f>VLOOKUP(B108,STARTOVKA,3,0)</f>
        <v>GAVENDA Miroslav</v>
      </c>
      <c r="E108" s="65" t="str">
        <f>VLOOKUP(B108,STARTOVKA,4,0)</f>
        <v>SLÁVIA ŠG TRENČÍN</v>
      </c>
      <c r="F108" s="66">
        <f>VLOOKUP(B108,STARTOVKA,5,0)</f>
        <v>6366</v>
      </c>
      <c r="G108" s="67" t="str">
        <f>VLOOKUP(B108,STARTOVKA,6,0)</f>
        <v>JUNIOR*</v>
      </c>
      <c r="H108" s="67" t="str">
        <f>VLOOKUP(B108,STARTOVKA,7,0)</f>
        <v>SLA</v>
      </c>
      <c r="I108" s="199">
        <f>SUM(R108,V108,Z108,AD108)-SUM(S108,W108,AA108,AE108)+AF108</f>
        <v>0.1691143402777778</v>
      </c>
      <c r="J108" s="31">
        <f>I108-$I$12</f>
        <v>7.3287268518518744E-3</v>
      </c>
      <c r="K108" s="31"/>
      <c r="M108" s="69">
        <f>A108</f>
        <v>97</v>
      </c>
      <c r="P108" s="36">
        <v>95</v>
      </c>
      <c r="Q108" s="43">
        <v>73</v>
      </c>
      <c r="R108" s="41">
        <v>7.8287037037037044E-2</v>
      </c>
      <c r="S108" s="35">
        <v>0</v>
      </c>
      <c r="T108" s="37">
        <v>109</v>
      </c>
      <c r="U108" s="44">
        <v>73</v>
      </c>
      <c r="V108" s="240">
        <v>8.2578587962963204E-3</v>
      </c>
      <c r="W108" s="38"/>
      <c r="X108" s="36">
        <v>95</v>
      </c>
      <c r="Y108" s="43">
        <v>73</v>
      </c>
      <c r="Z108" s="41">
        <v>8.2569444444444445E-2</v>
      </c>
      <c r="AA108" s="35">
        <v>0</v>
      </c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153</v>
      </c>
      <c r="C109" s="63" t="str">
        <f>VLOOKUP(B109,STARTOVKA,2,0)</f>
        <v>CZE19960707</v>
      </c>
      <c r="D109" s="64" t="str">
        <f>VLOOKUP(B109,STARTOVKA,3,0)</f>
        <v>SAXA Lukáš</v>
      </c>
      <c r="E109" s="65" t="str">
        <f>VLOOKUP(B109,STARTOVKA,4,0)</f>
        <v>STEVENS ZNOJMO</v>
      </c>
      <c r="F109" s="66">
        <f>VLOOKUP(B109,STARTOVKA,5,0)</f>
        <v>20125</v>
      </c>
      <c r="G109" s="67" t="str">
        <f>VLOOKUP(B109,STARTOVKA,6,0)</f>
        <v>JUNIOR</v>
      </c>
      <c r="H109" s="67" t="str">
        <f>VLOOKUP(B109,STARTOVKA,7,0)</f>
        <v>SKC</v>
      </c>
      <c r="I109" s="199">
        <f>SUM(R109,V109,Z109,AD109)-SUM(S109,W109,AA109,AE109)+AF109</f>
        <v>0.16930298611111111</v>
      </c>
      <c r="J109" s="31">
        <f>I109-$I$12</f>
        <v>7.5173726851851808E-3</v>
      </c>
      <c r="K109" s="31"/>
      <c r="M109" s="69">
        <f>A109</f>
        <v>98</v>
      </c>
      <c r="P109" s="36">
        <v>104</v>
      </c>
      <c r="Q109" s="43">
        <v>153</v>
      </c>
      <c r="R109" s="41">
        <v>7.8321759259259258E-2</v>
      </c>
      <c r="S109" s="35">
        <v>0</v>
      </c>
      <c r="T109" s="37">
        <v>112</v>
      </c>
      <c r="U109" s="44">
        <v>153</v>
      </c>
      <c r="V109" s="240">
        <v>8.411782407407413E-3</v>
      </c>
      <c r="W109" s="38"/>
      <c r="X109" s="36">
        <v>96</v>
      </c>
      <c r="Y109" s="43">
        <v>153</v>
      </c>
      <c r="Z109" s="41">
        <v>8.2569444444444445E-2</v>
      </c>
      <c r="AA109" s="35">
        <v>0</v>
      </c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165</v>
      </c>
      <c r="C110" s="63" t="str">
        <f>VLOOKUP(B110,STARTOVKA,2,0)</f>
        <v>RUS19960517</v>
      </c>
      <c r="D110" s="64" t="str">
        <f>VLOOKUP(B110,STARTOVKA,3,0)</f>
        <v xml:space="preserve">MARTYSHEV Aleksandr </v>
      </c>
      <c r="E110" s="65" t="str">
        <f>VLOOKUP(B110,STARTOVKA,4,0)</f>
        <v>RUSSIAN CYCLING FEDERATION</v>
      </c>
      <c r="F110" s="66" t="str">
        <f>VLOOKUP(B110,STARTOVKA,5,0)</f>
        <v>B0270</v>
      </c>
      <c r="G110" s="67" t="str">
        <f>VLOOKUP(B110,STARTOVKA,6,0)</f>
        <v>JUNIOR</v>
      </c>
      <c r="H110" s="67" t="str">
        <f>VLOOKUP(B110,STARTOVKA,7,0)</f>
        <v>RUS</v>
      </c>
      <c r="I110" s="199">
        <f>SUM(R110,V110,Z110,AD110)-SUM(S110,W110,AA110,AE110)+AF110</f>
        <v>0.16931040509259263</v>
      </c>
      <c r="J110" s="31">
        <f>I110-$I$12</f>
        <v>7.524791666666697E-3</v>
      </c>
      <c r="K110" s="31"/>
      <c r="M110" s="69">
        <f>A110</f>
        <v>99</v>
      </c>
      <c r="P110" s="36">
        <v>12</v>
      </c>
      <c r="Q110" s="43">
        <v>165</v>
      </c>
      <c r="R110" s="41">
        <v>7.8287037037037044E-2</v>
      </c>
      <c r="S110" s="35">
        <v>0</v>
      </c>
      <c r="T110" s="37">
        <v>51</v>
      </c>
      <c r="U110" s="44">
        <v>165</v>
      </c>
      <c r="V110" s="240">
        <v>7.4585532407407673E-3</v>
      </c>
      <c r="W110" s="38"/>
      <c r="X110" s="36">
        <v>110</v>
      </c>
      <c r="Y110" s="43">
        <v>165</v>
      </c>
      <c r="Z110" s="41">
        <v>8.3564814814814814E-2</v>
      </c>
      <c r="AA110" s="35">
        <v>0</v>
      </c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43</v>
      </c>
      <c r="C111" s="63" t="str">
        <f>VLOOKUP(B111,STARTOVKA,2,0)</f>
        <v>CZE19990209</v>
      </c>
      <c r="D111" s="64" t="str">
        <f>VLOOKUP(B111,STARTOVKA,3,0)</f>
        <v xml:space="preserve">HONZÁK David </v>
      </c>
      <c r="E111" s="65" t="str">
        <f>VLOOKUP(B111,STARTOVKA,4,0)</f>
        <v>KC KOOPERATIVA SG JABLONEC N.N</v>
      </c>
      <c r="F111" s="66">
        <f>VLOOKUP(B111,STARTOVKA,5,0)</f>
        <v>14334</v>
      </c>
      <c r="G111" s="67" t="str">
        <f>VLOOKUP(B111,STARTOVKA,6,0)</f>
        <v>CADET*</v>
      </c>
      <c r="H111" s="67" t="str">
        <f>VLOOKUP(B111,STARTOVKA,7,0)</f>
        <v>KOO</v>
      </c>
      <c r="I111" s="199">
        <f>SUM(R111,V111,Z111,AD111)-SUM(S111,W111,AA111,AE111)+AF111</f>
        <v>0.1696211689814815</v>
      </c>
      <c r="J111" s="31">
        <f>I111-$I$12</f>
        <v>7.8355555555555678E-3</v>
      </c>
      <c r="K111" s="31"/>
      <c r="M111" s="69">
        <f>A111</f>
        <v>100</v>
      </c>
      <c r="P111" s="36">
        <v>102</v>
      </c>
      <c r="Q111" s="43">
        <v>43</v>
      </c>
      <c r="R111" s="41">
        <v>7.8321759259259258E-2</v>
      </c>
      <c r="S111" s="35">
        <v>0</v>
      </c>
      <c r="T111" s="37">
        <v>76</v>
      </c>
      <c r="U111" s="44">
        <v>43</v>
      </c>
      <c r="V111" s="240">
        <v>7.7345949074074088E-3</v>
      </c>
      <c r="W111" s="38"/>
      <c r="X111" s="36">
        <v>104</v>
      </c>
      <c r="Y111" s="43">
        <v>43</v>
      </c>
      <c r="Z111" s="41">
        <v>8.3564814814814814E-2</v>
      </c>
      <c r="AA111" s="35">
        <v>0</v>
      </c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75</v>
      </c>
      <c r="C112" s="63" t="str">
        <f>VLOOKUP(B112,STARTOVKA,2,0)</f>
        <v>SVK19981117</v>
      </c>
      <c r="D112" s="64" t="str">
        <f>VLOOKUP(B112,STARTOVKA,3,0)</f>
        <v>ZEMAN Alex</v>
      </c>
      <c r="E112" s="65" t="str">
        <f>VLOOKUP(B112,STARTOVKA,4,0)</f>
        <v>SLÁVIA ŠG TRENČÍN</v>
      </c>
      <c r="F112" s="66">
        <f>VLOOKUP(B112,STARTOVKA,5,0)</f>
        <v>6021</v>
      </c>
      <c r="G112" s="67" t="str">
        <f>VLOOKUP(B112,STARTOVKA,6,0)</f>
        <v>CADET</v>
      </c>
      <c r="H112" s="67" t="str">
        <f>VLOOKUP(B112,STARTOVKA,7,0)</f>
        <v>SLA</v>
      </c>
      <c r="I112" s="199">
        <f>SUM(R112,V112,Z112,AD112)-SUM(S112,W112,AA112,AE112)+AF112</f>
        <v>0.16981153935185189</v>
      </c>
      <c r="J112" s="31">
        <f>I112-$I$12</f>
        <v>8.0259259259259641E-3</v>
      </c>
      <c r="K112" s="31"/>
      <c r="M112" s="69">
        <f>A112</f>
        <v>101</v>
      </c>
      <c r="P112" s="36">
        <v>88</v>
      </c>
      <c r="Q112" s="43">
        <v>75</v>
      </c>
      <c r="R112" s="41">
        <v>7.8287037037037044E-2</v>
      </c>
      <c r="S112" s="35">
        <v>0</v>
      </c>
      <c r="T112" s="37">
        <v>101</v>
      </c>
      <c r="U112" s="44">
        <v>75</v>
      </c>
      <c r="V112" s="240">
        <v>8.0870023148148472E-3</v>
      </c>
      <c r="W112" s="38"/>
      <c r="X112" s="36">
        <v>101</v>
      </c>
      <c r="Y112" s="43">
        <v>75</v>
      </c>
      <c r="Z112" s="41">
        <v>8.3437499999999998E-2</v>
      </c>
      <c r="AA112" s="35">
        <v>0</v>
      </c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15</v>
      </c>
      <c r="C113" s="63" t="str">
        <f>VLOOKUP(B113,STARTOVKA,2,0)</f>
        <v>GER19980114</v>
      </c>
      <c r="D113" s="64" t="str">
        <f>VLOOKUP(B113,STARTOVKA,3,0)</f>
        <v>BONNES Julius</v>
      </c>
      <c r="E113" s="65" t="str">
        <f>VLOOKUP(B113,STARTOVKA,4,0)</f>
        <v>JUNIOREN SCHWALBE TEAM SACHSEN</v>
      </c>
      <c r="F113" s="66" t="str">
        <f>VLOOKUP(B113,STARTOVKA,5,0)</f>
        <v>SAC 142150</v>
      </c>
      <c r="G113" s="67" t="str">
        <f>VLOOKUP(B113,STARTOVKA,6,0)</f>
        <v>CADET</v>
      </c>
      <c r="H113" s="67" t="str">
        <f>VLOOKUP(B113,STARTOVKA,7,0)</f>
        <v>SCW</v>
      </c>
      <c r="I113" s="199">
        <f>SUM(R113,V113,Z113,AD113)-SUM(S113,W113,AA113,AE113)+AF113</f>
        <v>0.16981259259259257</v>
      </c>
      <c r="J113" s="31">
        <f>I113-$I$12</f>
        <v>8.0269791666666424E-3</v>
      </c>
      <c r="K113" s="31"/>
      <c r="M113" s="69">
        <f>A113</f>
        <v>102</v>
      </c>
      <c r="P113" s="36">
        <v>100</v>
      </c>
      <c r="Q113" s="43">
        <v>15</v>
      </c>
      <c r="R113" s="41">
        <v>7.8321759259259258E-2</v>
      </c>
      <c r="S113" s="35">
        <v>0</v>
      </c>
      <c r="T113" s="37">
        <v>102</v>
      </c>
      <c r="U113" s="44">
        <v>15</v>
      </c>
      <c r="V113" s="240">
        <v>8.0880555555555549E-3</v>
      </c>
      <c r="W113" s="38"/>
      <c r="X113" s="36">
        <v>99</v>
      </c>
      <c r="Y113" s="43">
        <v>15</v>
      </c>
      <c r="Z113" s="41">
        <v>8.340277777777777E-2</v>
      </c>
      <c r="AA113" s="35">
        <v>0</v>
      </c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112</v>
      </c>
      <c r="C114" s="63" t="str">
        <f>VLOOKUP(B114,STARTOVKA,2,0)</f>
        <v>GER19970122</v>
      </c>
      <c r="D114" s="64" t="str">
        <f>VLOOKUP(B114,STARTOVKA,3,0)</f>
        <v>BERAN Andy</v>
      </c>
      <c r="E114" s="65" t="str">
        <f>VLOOKUP(B114,STARTOVKA,4,0)</f>
        <v>TEAM BRANDENBURG - RSC COTTBUS</v>
      </c>
      <c r="F114" s="66" t="str">
        <f>VLOOKUP(B114,STARTOVKA,5,0)</f>
        <v>604254-11</v>
      </c>
      <c r="G114" s="67" t="str">
        <f>VLOOKUP(B114,STARTOVKA,6,0)</f>
        <v>JUNIOR*</v>
      </c>
      <c r="H114" s="67" t="str">
        <f>VLOOKUP(B114,STARTOVKA,7,0)</f>
        <v>COT</v>
      </c>
      <c r="I114" s="199">
        <f>SUM(R114,V114,Z114,AD114)-SUM(S114,W114,AA114,AE114)+AF114</f>
        <v>0.16992170138888896</v>
      </c>
      <c r="J114" s="31">
        <f>I114-$I$12</f>
        <v>8.1360879629630289E-3</v>
      </c>
      <c r="K114" s="31"/>
      <c r="M114" s="69">
        <f>A114</f>
        <v>103</v>
      </c>
      <c r="P114" s="36">
        <v>62</v>
      </c>
      <c r="Q114" s="43">
        <v>112</v>
      </c>
      <c r="R114" s="41">
        <v>7.8287037037037044E-2</v>
      </c>
      <c r="S114" s="35">
        <v>0</v>
      </c>
      <c r="T114" s="37">
        <v>100</v>
      </c>
      <c r="U114" s="44">
        <v>112</v>
      </c>
      <c r="V114" s="240">
        <v>8.0698495370370854E-3</v>
      </c>
      <c r="W114" s="38"/>
      <c r="X114" s="36">
        <v>103</v>
      </c>
      <c r="Y114" s="43">
        <v>112</v>
      </c>
      <c r="Z114" s="41">
        <v>8.3564814814814814E-2</v>
      </c>
      <c r="AA114" s="35">
        <v>0</v>
      </c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53</v>
      </c>
      <c r="C115" s="63" t="str">
        <f>VLOOKUP(B115,STARTOVKA,2,0)</f>
        <v>CZE19980914</v>
      </c>
      <c r="D115" s="64" t="str">
        <f>VLOOKUP(B115,STARTOVKA,3,0)</f>
        <v>TRACHTULEC Petr</v>
      </c>
      <c r="E115" s="65" t="str">
        <f>VLOOKUP(B115,STARTOVKA,4,0)</f>
        <v>CK FESO PETŘVALD</v>
      </c>
      <c r="F115" s="66">
        <f>VLOOKUP(B115,STARTOVKA,5,0)</f>
        <v>20073</v>
      </c>
      <c r="G115" s="67" t="str">
        <f>VLOOKUP(B115,STARTOVKA,6,0)</f>
        <v>CADET</v>
      </c>
      <c r="H115" s="67" t="str">
        <f>VLOOKUP(B115,STARTOVKA,7,0)</f>
        <v>GLI</v>
      </c>
      <c r="I115" s="199">
        <f>SUM(R115,V115,Z115,AD115)-SUM(S115,W115,AA115,AE115)+AF115</f>
        <v>0.1699561689814815</v>
      </c>
      <c r="J115" s="31">
        <f>I115-$I$12</f>
        <v>8.1705555555555698E-3</v>
      </c>
      <c r="K115" s="31"/>
      <c r="M115" s="69">
        <f>A115</f>
        <v>104</v>
      </c>
      <c r="P115" s="36">
        <v>66</v>
      </c>
      <c r="Q115" s="43">
        <v>53</v>
      </c>
      <c r="R115" s="41">
        <v>7.8287037037037044E-2</v>
      </c>
      <c r="S115" s="35">
        <v>0</v>
      </c>
      <c r="T115" s="37">
        <v>103</v>
      </c>
      <c r="U115" s="44">
        <v>53</v>
      </c>
      <c r="V115" s="240">
        <v>8.1043171296296401E-3</v>
      </c>
      <c r="W115" s="38"/>
      <c r="X115" s="36">
        <v>109</v>
      </c>
      <c r="Y115" s="43">
        <v>53</v>
      </c>
      <c r="Z115" s="41">
        <v>8.3564814814814814E-2</v>
      </c>
      <c r="AA115" s="35">
        <v>0</v>
      </c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23</v>
      </c>
      <c r="C116" s="63" t="str">
        <f>VLOOKUP(B116,STARTOVKA,2,0)</f>
        <v>GER19981211</v>
      </c>
      <c r="D116" s="64" t="str">
        <f>VLOOKUP(B116,STARTOVKA,3,0)</f>
        <v>POUL Rudolph</v>
      </c>
      <c r="E116" s="65" t="str">
        <f>VLOOKUP(B116,STARTOVKA,4,0)</f>
        <v>RG BERLIN</v>
      </c>
      <c r="F116" s="66" t="str">
        <f>VLOOKUP(B116,STARTOVKA,5,0)</f>
        <v>BER 032411</v>
      </c>
      <c r="G116" s="67" t="str">
        <f>VLOOKUP(B116,STARTOVKA,6,0)</f>
        <v>CADET</v>
      </c>
      <c r="H116" s="67" t="str">
        <f>VLOOKUP(B116,STARTOVKA,7,0)</f>
        <v>RGB</v>
      </c>
      <c r="I116" s="199">
        <f>SUM(R116,V116,Z116,AD116)-SUM(S116,W116,AA116,AE116)+AF116</f>
        <v>0.17063365740740744</v>
      </c>
      <c r="J116" s="31">
        <f>I116-$I$12</f>
        <v>8.8480439814815071E-3</v>
      </c>
      <c r="K116" s="31"/>
      <c r="M116" s="69">
        <f>A116</f>
        <v>105</v>
      </c>
      <c r="P116" s="36">
        <v>112</v>
      </c>
      <c r="Q116" s="43">
        <v>23</v>
      </c>
      <c r="R116" s="41">
        <v>7.8287037037037044E-2</v>
      </c>
      <c r="S116" s="35">
        <v>0</v>
      </c>
      <c r="T116" s="37">
        <v>107</v>
      </c>
      <c r="U116" s="44">
        <v>23</v>
      </c>
      <c r="V116" s="240">
        <v>8.179953703703717E-3</v>
      </c>
      <c r="W116" s="38"/>
      <c r="X116" s="36">
        <v>111</v>
      </c>
      <c r="Y116" s="43">
        <v>23</v>
      </c>
      <c r="Z116" s="41">
        <v>8.4166666666666667E-2</v>
      </c>
      <c r="AA116" s="35">
        <v>0</v>
      </c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47</v>
      </c>
      <c r="C117" s="63" t="str">
        <f>VLOOKUP(B117,STARTOVKA,2,0)</f>
        <v>CZE19960509</v>
      </c>
      <c r="D117" s="64" t="str">
        <f>VLOOKUP(B117,STARTOVKA,3,0)</f>
        <v xml:space="preserve">PRENĚK Ondřej </v>
      </c>
      <c r="E117" s="65" t="str">
        <f>VLOOKUP(B117,STARTOVKA,4,0)</f>
        <v>KC KOOPERATIVA SG JABLONEC N.N</v>
      </c>
      <c r="F117" s="66">
        <f>VLOOKUP(B117,STARTOVKA,5,0)</f>
        <v>19279</v>
      </c>
      <c r="G117" s="67" t="str">
        <f>VLOOKUP(B117,STARTOVKA,6,0)</f>
        <v>JUNIOR</v>
      </c>
      <c r="H117" s="67" t="str">
        <f>VLOOKUP(B117,STARTOVKA,7,0)</f>
        <v>KOO</v>
      </c>
      <c r="I117" s="199">
        <f>SUM(R117,V117,Z117,AD117)-SUM(S117,W117,AA117,AE117)+AF117</f>
        <v>0.17068002314814815</v>
      </c>
      <c r="J117" s="31">
        <f>I117-$I$12</f>
        <v>8.8944097222222185E-3</v>
      </c>
      <c r="K117" s="31"/>
      <c r="M117" s="69">
        <f>A117</f>
        <v>106</v>
      </c>
      <c r="P117" s="36">
        <v>109</v>
      </c>
      <c r="Q117" s="43">
        <v>47</v>
      </c>
      <c r="R117" s="41">
        <v>7.9548611111111112E-2</v>
      </c>
      <c r="S117" s="35">
        <v>0</v>
      </c>
      <c r="T117" s="37">
        <v>115</v>
      </c>
      <c r="U117" s="44">
        <v>47</v>
      </c>
      <c r="V117" s="240">
        <v>8.5619675925925932E-3</v>
      </c>
      <c r="W117" s="38"/>
      <c r="X117" s="36">
        <v>97</v>
      </c>
      <c r="Y117" s="43">
        <v>47</v>
      </c>
      <c r="Z117" s="41">
        <v>8.2569444444444445E-2</v>
      </c>
      <c r="AA117" s="35">
        <v>0</v>
      </c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135</v>
      </c>
      <c r="C118" s="63" t="str">
        <f>VLOOKUP(B118,STARTOVKA,2,0)</f>
        <v>AUT19970502</v>
      </c>
      <c r="D118" s="64" t="str">
        <f>VLOOKUP(B118,STARTOVKA,3,0)</f>
        <v>RECKENDORFER Lukas</v>
      </c>
      <c r="E118" s="65" t="str">
        <f>VLOOKUP(B118,STARTOVKA,4,0)</f>
        <v>RC ARBÖ WELS GOURMETFEIN</v>
      </c>
      <c r="F118" s="66">
        <f>VLOOKUP(B118,STARTOVKA,5,0)</f>
        <v>100756</v>
      </c>
      <c r="G118" s="67" t="str">
        <f>VLOOKUP(B118,STARTOVKA,6,0)</f>
        <v>JUNIOR*</v>
      </c>
      <c r="H118" s="67" t="str">
        <f>VLOOKUP(B118,STARTOVKA,7,0)</f>
        <v>RCA</v>
      </c>
      <c r="I118" s="199">
        <f>SUM(R118,V118,Z118,AD118)-SUM(S118,W118,AA118,AE118)+AF118</f>
        <v>0.17190952546296295</v>
      </c>
      <c r="J118" s="31">
        <f>I118-$I$12</f>
        <v>1.0123912037037025E-2</v>
      </c>
      <c r="K118" s="31"/>
      <c r="M118" s="69">
        <f>A118</f>
        <v>107</v>
      </c>
      <c r="P118" s="36">
        <v>111</v>
      </c>
      <c r="Q118" s="43">
        <v>135</v>
      </c>
      <c r="R118" s="41">
        <v>8.3749999999999991E-2</v>
      </c>
      <c r="S118" s="35">
        <v>0</v>
      </c>
      <c r="T118" s="37">
        <v>90</v>
      </c>
      <c r="U118" s="44">
        <v>135</v>
      </c>
      <c r="V118" s="240">
        <v>7.9511921296296327E-3</v>
      </c>
      <c r="W118" s="38"/>
      <c r="X118" s="36">
        <v>75</v>
      </c>
      <c r="Y118" s="43">
        <v>135</v>
      </c>
      <c r="Z118" s="41">
        <v>8.020833333333334E-2</v>
      </c>
      <c r="AA118" s="35">
        <v>0</v>
      </c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58</v>
      </c>
      <c r="C119" s="63" t="str">
        <f>VLOOKUP(B119,STARTOVKA,2,0)</f>
        <v>CZE19970902</v>
      </c>
      <c r="D119" s="64" t="str">
        <f>VLOOKUP(B119,STARTOVKA,3,0)</f>
        <v xml:space="preserve">VÝVODA Jan </v>
      </c>
      <c r="E119" s="65" t="str">
        <f>VLOOKUP(B119,STARTOVKA,4,0)</f>
        <v xml:space="preserve">TJ SIGMA HRANICE </v>
      </c>
      <c r="F119" s="66">
        <f>VLOOKUP(B119,STARTOVKA,5,0)</f>
        <v>7780</v>
      </c>
      <c r="G119" s="67" t="str">
        <f>VLOOKUP(B119,STARTOVKA,6,0)</f>
        <v>JUNIOR*</v>
      </c>
      <c r="H119" s="67" t="str">
        <f>VLOOKUP(B119,STARTOVKA,7,0)</f>
        <v>GLI</v>
      </c>
      <c r="I119" s="199">
        <f>SUM(R119,V119,Z119,AD119)-SUM(S119,W119,AA119,AE119)+AF119</f>
        <v>0.17273158564814817</v>
      </c>
      <c r="J119" s="31">
        <f>I119-$I$12</f>
        <v>1.0945972222222239E-2</v>
      </c>
      <c r="K119" s="31"/>
      <c r="M119" s="69">
        <f>A119</f>
        <v>108</v>
      </c>
      <c r="P119" s="36">
        <v>73</v>
      </c>
      <c r="Q119" s="43">
        <v>58</v>
      </c>
      <c r="R119" s="41">
        <v>7.8287037037037044E-2</v>
      </c>
      <c r="S119" s="35">
        <v>0</v>
      </c>
      <c r="T119" s="37">
        <v>53</v>
      </c>
      <c r="U119" s="44">
        <v>58</v>
      </c>
      <c r="V119" s="240">
        <v>7.4885300925925935E-3</v>
      </c>
      <c r="W119" s="38"/>
      <c r="X119" s="36">
        <v>113</v>
      </c>
      <c r="Y119" s="43">
        <v>58</v>
      </c>
      <c r="Z119" s="41">
        <v>8.6956018518518516E-2</v>
      </c>
      <c r="AA119" s="35">
        <v>0</v>
      </c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9</v>
      </c>
      <c r="C120" s="63" t="str">
        <f>VLOOKUP(B120,STARTOVKA,2,0)</f>
        <v>GER19980730</v>
      </c>
      <c r="D120" s="64" t="str">
        <f>VLOOKUP(B120,STARTOVKA,3,0)</f>
        <v>PLUNTKE Moritz</v>
      </c>
      <c r="E120" s="65" t="str">
        <f>VLOOKUP(B120,STARTOVKA,4,0)</f>
        <v>RSC TURBINE ERFURT</v>
      </c>
      <c r="F120" s="66" t="str">
        <f>VLOOKUP(B120,STARTOVKA,5,0)</f>
        <v>THÜ173593</v>
      </c>
      <c r="G120" s="67" t="str">
        <f>VLOOKUP(B120,STARTOVKA,6,0)</f>
        <v>CADET</v>
      </c>
      <c r="H120" s="67" t="str">
        <f>VLOOKUP(B120,STARTOVKA,7,0)</f>
        <v>TUR</v>
      </c>
      <c r="I120" s="199">
        <f>SUM(R120,V120,Z120,AD120)-SUM(S120,W120,AA120,AE120)+AF120</f>
        <v>0.17373295138888889</v>
      </c>
      <c r="J120" s="31">
        <f>I120-$I$12</f>
        <v>1.1947337962962962E-2</v>
      </c>
      <c r="K120" s="31"/>
      <c r="M120" s="69">
        <f>A120</f>
        <v>109</v>
      </c>
      <c r="P120" s="36">
        <v>105</v>
      </c>
      <c r="Q120" s="43">
        <v>9</v>
      </c>
      <c r="R120" s="41">
        <v>7.8680555555555545E-2</v>
      </c>
      <c r="S120" s="35">
        <v>0</v>
      </c>
      <c r="T120" s="37">
        <v>97</v>
      </c>
      <c r="U120" s="44">
        <v>9</v>
      </c>
      <c r="V120" s="240">
        <v>8.0269328703703718E-3</v>
      </c>
      <c r="W120" s="38"/>
      <c r="X120" s="36">
        <v>114</v>
      </c>
      <c r="Y120" s="43">
        <v>9</v>
      </c>
      <c r="Z120" s="41">
        <v>8.7025462962962971E-2</v>
      </c>
      <c r="AA120" s="35">
        <v>0</v>
      </c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54</v>
      </c>
      <c r="C121" s="63" t="str">
        <f>VLOOKUP(B121,STARTOVKA,2,0)</f>
        <v>POL19960621</v>
      </c>
      <c r="D121" s="64" t="str">
        <f>VLOOKUP(B121,STARTOVKA,3,0)</f>
        <v>TROSZOK Robert</v>
      </c>
      <c r="E121" s="65" t="str">
        <f>VLOOKUP(B121,STARTOVKA,4,0)</f>
        <v>GRUPA KOLARSKA GLIWICE BA</v>
      </c>
      <c r="F121" s="66" t="str">
        <f>VLOOKUP(B121,STARTOVKA,5,0)</f>
        <v>SLA231</v>
      </c>
      <c r="G121" s="67" t="str">
        <f>VLOOKUP(B121,STARTOVKA,6,0)</f>
        <v>JUNIOR</v>
      </c>
      <c r="H121" s="67" t="str">
        <f>VLOOKUP(B121,STARTOVKA,7,0)</f>
        <v>GLI</v>
      </c>
      <c r="I121" s="199">
        <f>SUM(R121,V121,Z121,AD121)-SUM(S121,W121,AA121,AE121)+AF121</f>
        <v>0.17437416666666666</v>
      </c>
      <c r="J121" s="31">
        <f>I121-$I$12</f>
        <v>1.2588553240740735E-2</v>
      </c>
      <c r="K121" s="31"/>
      <c r="M121" s="69">
        <f>A121</f>
        <v>110</v>
      </c>
      <c r="P121" s="36">
        <v>114</v>
      </c>
      <c r="Q121" s="43">
        <v>54</v>
      </c>
      <c r="R121" s="41">
        <v>8.6064814814814816E-2</v>
      </c>
      <c r="S121" s="35">
        <v>0</v>
      </c>
      <c r="T121" s="37">
        <v>54</v>
      </c>
      <c r="U121" s="44">
        <v>54</v>
      </c>
      <c r="V121" s="240">
        <v>7.4991666666666644E-3</v>
      </c>
      <c r="W121" s="38"/>
      <c r="X121" s="36">
        <v>76</v>
      </c>
      <c r="Y121" s="43">
        <v>54</v>
      </c>
      <c r="Z121" s="41">
        <v>8.0810185185185179E-2</v>
      </c>
      <c r="AA121" s="35">
        <v>0</v>
      </c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186</v>
      </c>
      <c r="C122" s="63" t="str">
        <f>VLOOKUP(B122,STARTOVKA,2,0)</f>
        <v>AUT19970406</v>
      </c>
      <c r="D122" s="64" t="str">
        <f>VLOOKUP(B122,STARTOVKA,3,0)</f>
        <v>WINTER Stefan</v>
      </c>
      <c r="E122" s="65" t="str">
        <f>VLOOKUP(B122,STARTOVKA,4,0)</f>
        <v xml:space="preserve">LRV STEIERMARK </v>
      </c>
      <c r="F122" s="66">
        <f>VLOOKUP(B122,STARTOVKA,5,0)</f>
        <v>100838</v>
      </c>
      <c r="G122" s="67" t="str">
        <f>VLOOKUP(B122,STARTOVKA,6,0)</f>
        <v>JUNIOR*</v>
      </c>
      <c r="H122" s="67" t="str">
        <f>VLOOKUP(B122,STARTOVKA,7,0)</f>
        <v>LRV</v>
      </c>
      <c r="I122" s="199">
        <f>SUM(R122,V122,Z122,AD122)-SUM(S122,W122,AA122,AE122)+AF122</f>
        <v>0.17535353009259258</v>
      </c>
      <c r="J122" s="31">
        <f>I122-$I$12</f>
        <v>1.3567916666666652E-2</v>
      </c>
      <c r="K122" s="31"/>
      <c r="M122" s="69">
        <f>A122</f>
        <v>111</v>
      </c>
      <c r="P122" s="36">
        <v>110</v>
      </c>
      <c r="Q122" s="43">
        <v>186</v>
      </c>
      <c r="R122" s="41">
        <v>8.3749999999999991E-2</v>
      </c>
      <c r="S122" s="35">
        <v>0</v>
      </c>
      <c r="T122" s="37">
        <v>98</v>
      </c>
      <c r="U122" s="44">
        <v>186</v>
      </c>
      <c r="V122" s="240">
        <v>8.0387152777777714E-3</v>
      </c>
      <c r="W122" s="38"/>
      <c r="X122" s="36">
        <v>102</v>
      </c>
      <c r="Y122" s="43">
        <v>186</v>
      </c>
      <c r="Z122" s="41">
        <v>8.3564814814814814E-2</v>
      </c>
      <c r="AA122" s="35">
        <v>0</v>
      </c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46</v>
      </c>
      <c r="C123" s="63" t="str">
        <f>VLOOKUP(B123,STARTOVKA,2,0)</f>
        <v>CZE19980811</v>
      </c>
      <c r="D123" s="64" t="str">
        <f>VLOOKUP(B123,STARTOVKA,3,0)</f>
        <v xml:space="preserve">NOVOTNÝ Jakub </v>
      </c>
      <c r="E123" s="65" t="str">
        <f>VLOOKUP(B123,STARTOVKA,4,0)</f>
        <v>KC KOOPERATIVA SG JABLONEC N.N</v>
      </c>
      <c r="F123" s="66">
        <f>VLOOKUP(B123,STARTOVKA,5,0)</f>
        <v>19278</v>
      </c>
      <c r="G123" s="67" t="str">
        <f>VLOOKUP(B123,STARTOVKA,6,0)</f>
        <v>CADET</v>
      </c>
      <c r="H123" s="67" t="str">
        <f>VLOOKUP(B123,STARTOVKA,7,0)</f>
        <v>KOO</v>
      </c>
      <c r="I123" s="199">
        <f>SUM(R123,V123,Z123,AD123)-SUM(S123,W123,AA123,AE123)+AF123</f>
        <v>0.17933902777777777</v>
      </c>
      <c r="J123" s="31">
        <f>I123-$I$12</f>
        <v>1.7553414351851843E-2</v>
      </c>
      <c r="K123" s="31"/>
      <c r="M123" s="69">
        <f>A123</f>
        <v>112</v>
      </c>
      <c r="P123" s="36">
        <v>116</v>
      </c>
      <c r="Q123" s="43">
        <v>46</v>
      </c>
      <c r="R123" s="41">
        <v>8.7870370370370376E-2</v>
      </c>
      <c r="S123" s="35">
        <v>0</v>
      </c>
      <c r="T123" s="37">
        <v>86</v>
      </c>
      <c r="U123" s="44">
        <v>46</v>
      </c>
      <c r="V123" s="240">
        <v>7.9038425925925908E-3</v>
      </c>
      <c r="W123" s="38"/>
      <c r="X123" s="36">
        <v>105</v>
      </c>
      <c r="Y123" s="43">
        <v>46</v>
      </c>
      <c r="Z123" s="41">
        <v>8.3564814814814814E-2</v>
      </c>
      <c r="AA123" s="35">
        <v>0</v>
      </c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103</v>
      </c>
      <c r="C124" s="63" t="str">
        <f>VLOOKUP(B124,STARTOVKA,2,0)</f>
        <v>CZE19970319</v>
      </c>
      <c r="D124" s="64" t="str">
        <f>VLOOKUP(B124,STARTOVKA,3,0)</f>
        <v xml:space="preserve">NEUMAN Daniel </v>
      </c>
      <c r="E124" s="65" t="str">
        <f>VLOOKUP(B124,STARTOVKA,4,0)</f>
        <v xml:space="preserve">TJ STADION LOUNY </v>
      </c>
      <c r="F124" s="66">
        <f>VLOOKUP(B124,STARTOVKA,5,0)</f>
        <v>9610</v>
      </c>
      <c r="G124" s="67" t="str">
        <f>VLOOKUP(B124,STARTOVKA,6,0)</f>
        <v>JUNIOR*</v>
      </c>
      <c r="H124" s="67" t="str">
        <f>VLOOKUP(B124,STARTOVKA,7,0)</f>
        <v>LOU</v>
      </c>
      <c r="I124" s="199">
        <f>SUM(R124,V124,Z124,AD124)-SUM(S124,W124,AA124,AE124)+AF124</f>
        <v>0.17942871527777779</v>
      </c>
      <c r="J124" s="31">
        <f>I124-$I$12</f>
        <v>1.7643101851851861E-2</v>
      </c>
      <c r="K124" s="31"/>
      <c r="M124" s="69">
        <f>A124</f>
        <v>113</v>
      </c>
      <c r="P124" s="36">
        <v>117</v>
      </c>
      <c r="Q124" s="43">
        <v>103</v>
      </c>
      <c r="R124" s="41">
        <v>8.7870370370370376E-2</v>
      </c>
      <c r="S124" s="35">
        <v>0</v>
      </c>
      <c r="T124" s="37">
        <v>93</v>
      </c>
      <c r="U124" s="44">
        <v>103</v>
      </c>
      <c r="V124" s="240">
        <v>7.993530092592592E-3</v>
      </c>
      <c r="W124" s="38"/>
      <c r="X124" s="36">
        <v>108</v>
      </c>
      <c r="Y124" s="43">
        <v>103</v>
      </c>
      <c r="Z124" s="41">
        <v>8.3564814814814814E-2</v>
      </c>
      <c r="AA124" s="35">
        <v>0</v>
      </c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72</v>
      </c>
      <c r="C125" s="63" t="str">
        <f>VLOOKUP(B125,STARTOVKA,2,0)</f>
        <v>SVK19960505</v>
      </c>
      <c r="D125" s="64" t="str">
        <f>VLOOKUP(B125,STARTOVKA,3,0)</f>
        <v>GANC Marek</v>
      </c>
      <c r="E125" s="65" t="str">
        <f>VLOOKUP(B125,STARTOVKA,4,0)</f>
        <v>SLÁVIA ŠG TRENČÍN</v>
      </c>
      <c r="F125" s="66">
        <f>VLOOKUP(B125,STARTOVKA,5,0)</f>
        <v>5847</v>
      </c>
      <c r="G125" s="67" t="str">
        <f>VLOOKUP(B125,STARTOVKA,6,0)</f>
        <v>JUNIOR</v>
      </c>
      <c r="H125" s="67" t="str">
        <f>VLOOKUP(B125,STARTOVKA,7,0)</f>
        <v>SLA</v>
      </c>
      <c r="I125" s="199">
        <f>SUM(R125,V125,Z125,AD125)-SUM(S125,W125,AA125,AE125)+AF125</f>
        <v>0.18227645833333334</v>
      </c>
      <c r="J125" s="31">
        <f>I125-$I$12</f>
        <v>2.0490844907407407E-2</v>
      </c>
      <c r="K125" s="31"/>
      <c r="M125" s="69">
        <f>A125</f>
        <v>114</v>
      </c>
      <c r="P125" s="36">
        <v>115</v>
      </c>
      <c r="Q125" s="43">
        <v>72</v>
      </c>
      <c r="R125" s="41">
        <v>8.7870370370370376E-2</v>
      </c>
      <c r="S125" s="35">
        <v>0</v>
      </c>
      <c r="T125" s="37">
        <v>104</v>
      </c>
      <c r="U125" s="44">
        <v>72</v>
      </c>
      <c r="V125" s="240">
        <v>8.121365740740745E-3</v>
      </c>
      <c r="W125" s="38"/>
      <c r="X125" s="36">
        <v>112</v>
      </c>
      <c r="Y125" s="43">
        <v>72</v>
      </c>
      <c r="Z125" s="41">
        <v>8.6284722222222221E-2</v>
      </c>
      <c r="AA125" s="35">
        <v>0</v>
      </c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74</v>
      </c>
      <c r="C126" s="63" t="str">
        <f>VLOOKUP(B126,STARTOVKA,2,0)</f>
        <v>SVK19980324</v>
      </c>
      <c r="D126" s="64" t="str">
        <f>VLOOKUP(B126,STARTOVKA,3,0)</f>
        <v>KOVÁČ Milan</v>
      </c>
      <c r="E126" s="65" t="str">
        <f>VLOOKUP(B126,STARTOVKA,4,0)</f>
        <v>SLÁVIA ŠG TRENČÍN</v>
      </c>
      <c r="F126" s="66">
        <f>VLOOKUP(B126,STARTOVKA,5,0)</f>
        <v>5908</v>
      </c>
      <c r="G126" s="67" t="str">
        <f>VLOOKUP(B126,STARTOVKA,6,0)</f>
        <v>CADET</v>
      </c>
      <c r="H126" s="67" t="str">
        <f>VLOOKUP(B126,STARTOVKA,7,0)</f>
        <v>SLA</v>
      </c>
      <c r="I126" s="199">
        <f>SUM(R126,V126,Z126,AD126)-SUM(S126,W126,AA126,AE126)+AF126</f>
        <v>0.18350431712962964</v>
      </c>
      <c r="J126" s="31">
        <f>I126-$I$12</f>
        <v>2.1718703703703712E-2</v>
      </c>
      <c r="K126" s="31"/>
      <c r="M126" s="69">
        <f>A126</f>
        <v>115</v>
      </c>
      <c r="P126" s="36">
        <v>118</v>
      </c>
      <c r="Q126" s="43">
        <v>74</v>
      </c>
      <c r="R126" s="41">
        <v>8.7870370370370376E-2</v>
      </c>
      <c r="S126" s="35">
        <v>0</v>
      </c>
      <c r="T126" s="37">
        <v>117</v>
      </c>
      <c r="U126" s="44">
        <v>74</v>
      </c>
      <c r="V126" s="240">
        <v>8.6084837962962964E-3</v>
      </c>
      <c r="W126" s="38"/>
      <c r="X126" s="36">
        <v>115</v>
      </c>
      <c r="Y126" s="43">
        <v>74</v>
      </c>
      <c r="Z126" s="41">
        <v>8.7025462962962971E-2</v>
      </c>
      <c r="AA126" s="35">
        <v>0</v>
      </c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/>
      <c r="B127" s="99">
        <v>1</v>
      </c>
      <c r="C127" s="63" t="str">
        <f>VLOOKUP(B127,STARTOVKA,2,0)</f>
        <v>GER19970725</v>
      </c>
      <c r="D127" s="64" t="str">
        <f>VLOOKUP(B127,STARTOVKA,3,0)</f>
        <v>MAGDEBURG Tobias</v>
      </c>
      <c r="E127" s="65" t="str">
        <f>VLOOKUP(B127,STARTOVKA,4,0)</f>
        <v>RSV SONNEBERG</v>
      </c>
      <c r="F127" s="66" t="str">
        <f>VLOOKUP(B127,STARTOVKA,5,0)</f>
        <v>THÜ173735</v>
      </c>
      <c r="G127" s="67" t="str">
        <f>VLOOKUP(B127,STARTOVKA,6,0)</f>
        <v>JUNIOR*</v>
      </c>
      <c r="H127" s="67" t="str">
        <f>VLOOKUP(B127,STARTOVKA,7,0)</f>
        <v>TUR</v>
      </c>
      <c r="I127" s="199" t="s">
        <v>121</v>
      </c>
      <c r="J127" s="31"/>
      <c r="K127" s="31"/>
      <c r="P127" s="36"/>
      <c r="Q127" s="43">
        <v>1</v>
      </c>
      <c r="R127" s="41" t="s">
        <v>121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/>
      <c r="B128" s="99">
        <v>11</v>
      </c>
      <c r="C128" s="63" t="str">
        <f>VLOOKUP(B128,STARTOVKA,2,0)</f>
        <v>GER19961026</v>
      </c>
      <c r="D128" s="64" t="str">
        <f>VLOOKUP(B128,STARTOVKA,3,0)</f>
        <v>FRANZ Paul</v>
      </c>
      <c r="E128" s="65" t="str">
        <f>VLOOKUP(B128,STARTOVKA,4,0)</f>
        <v>JUNIOREN SCHWALBE TEAM SACHSEN</v>
      </c>
      <c r="F128" s="66" t="str">
        <f>VLOOKUP(B128,STARTOVKA,5,0)</f>
        <v>SAC 134886</v>
      </c>
      <c r="G128" s="67" t="str">
        <f>VLOOKUP(B128,STARTOVKA,6,0)</f>
        <v>JUNIOR</v>
      </c>
      <c r="H128" s="67" t="str">
        <f>VLOOKUP(B128,STARTOVKA,7,0)</f>
        <v>SCW</v>
      </c>
      <c r="I128" s="199" t="s">
        <v>121</v>
      </c>
      <c r="J128" s="31"/>
      <c r="K128" s="31"/>
      <c r="P128" s="36">
        <v>113</v>
      </c>
      <c r="Q128" s="43">
        <v>11</v>
      </c>
      <c r="R128" s="41">
        <v>7.8287037037037044E-2</v>
      </c>
      <c r="S128" s="35">
        <v>0</v>
      </c>
      <c r="T128" s="37">
        <v>83</v>
      </c>
      <c r="U128" s="44">
        <v>11</v>
      </c>
      <c r="V128" s="240">
        <v>7.8252430555555228E-3</v>
      </c>
      <c r="W128" s="38"/>
      <c r="X128" s="36"/>
      <c r="Y128" s="43">
        <v>11</v>
      </c>
      <c r="Z128" s="41" t="s">
        <v>127</v>
      </c>
      <c r="AA128" s="35">
        <v>0</v>
      </c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32</v>
      </c>
      <c r="C129" s="63" t="str">
        <f>VLOOKUP(B129,STARTOVKA,2,0)</f>
        <v>CZE19970916</v>
      </c>
      <c r="D129" s="64" t="str">
        <f>VLOOKUP(B129,STARTOVKA,3,0)</f>
        <v xml:space="preserve">KUNT Lukáš </v>
      </c>
      <c r="E129" s="65" t="str">
        <f>VLOOKUP(B129,STARTOVKA,4,0)</f>
        <v xml:space="preserve">REMERX - MERIDA TEAM KOLÍN </v>
      </c>
      <c r="F129" s="66">
        <f>VLOOKUP(B129,STARTOVKA,5,0)</f>
        <v>14658</v>
      </c>
      <c r="G129" s="67" t="str">
        <f>VLOOKUP(B129,STARTOVKA,6,0)</f>
        <v>JUNIOR*</v>
      </c>
      <c r="H129" s="67" t="str">
        <f>VLOOKUP(B129,STARTOVKA,7,0)</f>
        <v>REM</v>
      </c>
      <c r="I129" s="199" t="s">
        <v>121</v>
      </c>
      <c r="J129" s="31"/>
      <c r="K129" s="31"/>
      <c r="P129" s="36">
        <v>86</v>
      </c>
      <c r="Q129" s="43">
        <v>32</v>
      </c>
      <c r="R129" s="41">
        <v>7.8287037037037044E-2</v>
      </c>
      <c r="S129" s="35">
        <v>0</v>
      </c>
      <c r="T129" s="37"/>
      <c r="U129" s="44">
        <v>32</v>
      </c>
      <c r="V129" s="240" t="s">
        <v>127</v>
      </c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33</v>
      </c>
      <c r="C130" s="63" t="str">
        <f>VLOOKUP(B130,STARTOVKA,2,0)</f>
        <v>CZE19970913</v>
      </c>
      <c r="D130" s="64" t="str">
        <f>VLOOKUP(B130,STARTOVKA,3,0)</f>
        <v xml:space="preserve">VOJÍŘ Jaroslav </v>
      </c>
      <c r="E130" s="65" t="str">
        <f>VLOOKUP(B130,STARTOVKA,4,0)</f>
        <v xml:space="preserve">REMERX - MERIDA TEAM KOLÍN </v>
      </c>
      <c r="F130" s="66">
        <f>VLOOKUP(B130,STARTOVKA,5,0)</f>
        <v>12178</v>
      </c>
      <c r="G130" s="67" t="str">
        <f>VLOOKUP(B130,STARTOVKA,6,0)</f>
        <v>JUNIOR*</v>
      </c>
      <c r="H130" s="67" t="str">
        <f>VLOOKUP(B130,STARTOVKA,7,0)</f>
        <v>REM</v>
      </c>
      <c r="I130" s="199" t="s">
        <v>121</v>
      </c>
      <c r="J130" s="31"/>
      <c r="K130" s="31"/>
      <c r="P130" s="36"/>
      <c r="Q130" s="43">
        <v>33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61</v>
      </c>
      <c r="C131" s="63" t="str">
        <f>VLOOKUP(B131,STARTOVKA,2,0)</f>
        <v>POL19960305</v>
      </c>
      <c r="D131" s="64" t="str">
        <f>VLOOKUP(B131,STARTOVKA,3,0)</f>
        <v>PRZEWIĘDA Paweł</v>
      </c>
      <c r="E131" s="65" t="str">
        <f>VLOOKUP(B131,STARTOVKA,4,0)</f>
        <v xml:space="preserve">DSR AUTHOR GÓRNIK WAŁBRZYCH </v>
      </c>
      <c r="F131" s="66" t="str">
        <f>VLOOKUP(B131,STARTOVKA,5,0)</f>
        <v>DLS177</v>
      </c>
      <c r="G131" s="67" t="str">
        <f>VLOOKUP(B131,STARTOVKA,6,0)</f>
        <v>JUNIOR</v>
      </c>
      <c r="H131" s="67" t="str">
        <f>VLOOKUP(B131,STARTOVKA,7,0)</f>
        <v>GOR</v>
      </c>
      <c r="I131" s="199" t="s">
        <v>121</v>
      </c>
      <c r="J131" s="31"/>
      <c r="K131" s="31"/>
      <c r="P131" s="36"/>
      <c r="Q131" s="43">
        <v>61</v>
      </c>
      <c r="R131" s="153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64</v>
      </c>
      <c r="C132" s="63" t="str">
        <f>VLOOKUP(B132,STARTOVKA,2,0)</f>
        <v>POL19960504</v>
      </c>
      <c r="D132" s="64" t="str">
        <f>VLOOKUP(B132,STARTOVKA,3,0)</f>
        <v>POLKOWSKI Bartłomiej</v>
      </c>
      <c r="E132" s="65" t="str">
        <f>VLOOKUP(B132,STARTOVKA,4,0)</f>
        <v xml:space="preserve">DSR AUTHOR GÓRNIK WAŁBRZYCH </v>
      </c>
      <c r="F132" s="66" t="str">
        <f>VLOOKUP(B132,STARTOVKA,5,0)</f>
        <v>DLS162</v>
      </c>
      <c r="G132" s="67" t="str">
        <f>VLOOKUP(B132,STARTOVKA,6,0)</f>
        <v>JUNIOR</v>
      </c>
      <c r="H132" s="67" t="str">
        <f>VLOOKUP(B132,STARTOVKA,7,0)</f>
        <v>GOR</v>
      </c>
      <c r="I132" s="199" t="s">
        <v>121</v>
      </c>
      <c r="J132" s="31"/>
      <c r="K132" s="31"/>
      <c r="P132" s="36"/>
      <c r="Q132" s="43">
        <v>64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66</v>
      </c>
      <c r="C133" s="63" t="str">
        <f>VLOOKUP(B133,STARTOVKA,2,0)</f>
        <v>POL19980719</v>
      </c>
      <c r="D133" s="64" t="str">
        <f>VLOOKUP(B133,STARTOVKA,3,0)</f>
        <v>NOWAK Michał</v>
      </c>
      <c r="E133" s="65" t="str">
        <f>VLOOKUP(B133,STARTOVKA,4,0)</f>
        <v xml:space="preserve">DSR AUTHOR GÓRNIK WAŁBRZYCH </v>
      </c>
      <c r="F133" s="66" t="str">
        <f>VLOOKUP(B133,STARTOVKA,5,0)</f>
        <v>DLS163</v>
      </c>
      <c r="G133" s="67" t="str">
        <f>VLOOKUP(B133,STARTOVKA,6,0)</f>
        <v>CADET</v>
      </c>
      <c r="H133" s="67" t="str">
        <f>VLOOKUP(B133,STARTOVKA,7,0)</f>
        <v>GOR</v>
      </c>
      <c r="I133" s="199" t="s">
        <v>121</v>
      </c>
      <c r="J133" s="31"/>
      <c r="K133" s="31"/>
      <c r="P133" s="36"/>
      <c r="Q133" s="43">
        <v>66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91</v>
      </c>
      <c r="C134" s="63" t="str">
        <f>VLOOKUP(B134,STARTOVKA,2,0)</f>
        <v>CZE19970324</v>
      </c>
      <c r="D134" s="64" t="str">
        <f>VLOOKUP(B134,STARTOVKA,3,0)</f>
        <v xml:space="preserve">DUBOVSKÝ Jakub </v>
      </c>
      <c r="E134" s="65" t="str">
        <f>VLOOKUP(B134,STARTOVKA,4,0)</f>
        <v xml:space="preserve">TJ FAVORIT BRNO </v>
      </c>
      <c r="F134" s="66">
        <f>VLOOKUP(B134,STARTOVKA,5,0)</f>
        <v>13738</v>
      </c>
      <c r="G134" s="67" t="str">
        <f>VLOOKUP(B134,STARTOVKA,6,0)</f>
        <v>JUNIOR*</v>
      </c>
      <c r="H134" s="67" t="str">
        <f>VLOOKUP(B134,STARTOVKA,7,0)</f>
        <v>FAV</v>
      </c>
      <c r="I134" s="199" t="s">
        <v>121</v>
      </c>
      <c r="J134" s="31"/>
      <c r="K134" s="31"/>
      <c r="P134" s="36"/>
      <c r="Q134" s="43">
        <v>91</v>
      </c>
      <c r="R134" s="41" t="s">
        <v>550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92</v>
      </c>
      <c r="C135" s="63" t="str">
        <f>VLOOKUP(B135,STARTOVKA,2,0)</f>
        <v>CZE19970414</v>
      </c>
      <c r="D135" s="64" t="str">
        <f>VLOOKUP(B135,STARTOVKA,3,0)</f>
        <v xml:space="preserve">DVOŘÁK Jakub </v>
      </c>
      <c r="E135" s="65" t="str">
        <f>VLOOKUP(B135,STARTOVKA,4,0)</f>
        <v xml:space="preserve">TJ FAVORIT BRNO </v>
      </c>
      <c r="F135" s="66">
        <f>VLOOKUP(B135,STARTOVKA,5,0)</f>
        <v>14284</v>
      </c>
      <c r="G135" s="67" t="str">
        <f>VLOOKUP(B135,STARTOVKA,6,0)</f>
        <v>JUNIOR*</v>
      </c>
      <c r="H135" s="67" t="str">
        <f>VLOOKUP(B135,STARTOVKA,7,0)</f>
        <v>FAV</v>
      </c>
      <c r="I135" s="199" t="s">
        <v>121</v>
      </c>
      <c r="J135" s="31"/>
      <c r="K135" s="31"/>
      <c r="P135" s="36"/>
      <c r="Q135" s="43">
        <v>92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98</v>
      </c>
      <c r="C136" s="63" t="str">
        <f>VLOOKUP(B136,STARTOVKA,2,0)</f>
        <v>CZE19961029</v>
      </c>
      <c r="D136" s="64" t="str">
        <f>VLOOKUP(B136,STARTOVKA,3,0)</f>
        <v xml:space="preserve">STŘEDA Kryštof </v>
      </c>
      <c r="E136" s="65" t="str">
        <f>VLOOKUP(B136,STARTOVKA,4,0)</f>
        <v xml:space="preserve">TJ FAVORIT BRNO </v>
      </c>
      <c r="F136" s="66">
        <f>VLOOKUP(B136,STARTOVKA,5,0)</f>
        <v>11566</v>
      </c>
      <c r="G136" s="67" t="str">
        <f>VLOOKUP(B136,STARTOVKA,6,0)</f>
        <v>JUNIOR</v>
      </c>
      <c r="H136" s="67" t="str">
        <f>VLOOKUP(B136,STARTOVKA,7,0)</f>
        <v>FAV</v>
      </c>
      <c r="I136" s="199" t="s">
        <v>121</v>
      </c>
      <c r="J136" s="31"/>
      <c r="K136" s="31"/>
      <c r="P136" s="36"/>
      <c r="Q136" s="43">
        <v>98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102</v>
      </c>
      <c r="C137" s="63" t="str">
        <f>VLOOKUP(B137,STARTOVKA,2,0)</f>
        <v>CZE19991218</v>
      </c>
      <c r="D137" s="64" t="str">
        <f>VLOOKUP(B137,STARTOVKA,3,0)</f>
        <v xml:space="preserve">HOLUBOVSKÝ Ondřej </v>
      </c>
      <c r="E137" s="65" t="str">
        <f>VLOOKUP(B137,STARTOVKA,4,0)</f>
        <v xml:space="preserve">TJ STADION LOUNY </v>
      </c>
      <c r="F137" s="66">
        <f>VLOOKUP(B137,STARTOVKA,5,0)</f>
        <v>12235</v>
      </c>
      <c r="G137" s="67" t="str">
        <f>VLOOKUP(B137,STARTOVKA,6,0)</f>
        <v>CADET*</v>
      </c>
      <c r="H137" s="67" t="str">
        <f>VLOOKUP(B137,STARTOVKA,7,0)</f>
        <v>LOU</v>
      </c>
      <c r="I137" s="199" t="s">
        <v>121</v>
      </c>
      <c r="J137" s="31"/>
      <c r="K137" s="31"/>
      <c r="P137" s="36"/>
      <c r="Q137" s="43">
        <v>102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104</v>
      </c>
      <c r="C138" s="63" t="str">
        <f>VLOOKUP(B138,STARTOVKA,2,0)</f>
        <v>CZE19960702</v>
      </c>
      <c r="D138" s="64" t="str">
        <f>VLOOKUP(B138,STARTOVKA,3,0)</f>
        <v>DULAJ Jan</v>
      </c>
      <c r="E138" s="65" t="str">
        <f>VLOOKUP(B138,STARTOVKA,4,0)</f>
        <v>SKP DUHA FORT LANŠKROUN</v>
      </c>
      <c r="F138" s="66">
        <f>VLOOKUP(B138,STARTOVKA,5,0)</f>
        <v>119368</v>
      </c>
      <c r="G138" s="67" t="str">
        <f>VLOOKUP(B138,STARTOVKA,6,0)</f>
        <v>JUNIOR</v>
      </c>
      <c r="H138" s="67" t="str">
        <f>VLOOKUP(B138,STARTOVKA,7,0)</f>
        <v>LOU</v>
      </c>
      <c r="I138" s="199" t="s">
        <v>121</v>
      </c>
      <c r="J138" s="31"/>
      <c r="K138" s="31"/>
      <c r="P138" s="36"/>
      <c r="Q138" s="43">
        <v>104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121</v>
      </c>
      <c r="C139" s="63" t="str">
        <f>VLOOKUP(B139,STARTOVKA,2,0)</f>
        <v>CZE19981231</v>
      </c>
      <c r="D139" s="64" t="str">
        <f>VLOOKUP(B139,STARTOVKA,3,0)</f>
        <v xml:space="preserve">BAJER Vilém </v>
      </c>
      <c r="E139" s="65" t="str">
        <f>VLOOKUP(B139,STARTOVKA,4,0)</f>
        <v xml:space="preserve">SKC TUFO PROSTĚJOV </v>
      </c>
      <c r="F139" s="66">
        <f>VLOOKUP(B139,STARTOVKA,5,0)</f>
        <v>6871</v>
      </c>
      <c r="G139" s="67" t="str">
        <f>VLOOKUP(B139,STARTOVKA,6,0)</f>
        <v>CADET</v>
      </c>
      <c r="H139" s="67" t="str">
        <f>VLOOKUP(B139,STARTOVKA,7,0)</f>
        <v>SKC</v>
      </c>
      <c r="I139" s="199" t="s">
        <v>121</v>
      </c>
      <c r="J139" s="31"/>
      <c r="K139" s="31"/>
      <c r="P139" s="36"/>
      <c r="Q139" s="43">
        <v>121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138</v>
      </c>
      <c r="C140" s="63" t="str">
        <f>VLOOKUP(B140,STARTOVKA,2,0)</f>
        <v>CZE19961125</v>
      </c>
      <c r="D140" s="64" t="str">
        <f>VLOOKUP(B140,STARTOVKA,3,0)</f>
        <v xml:space="preserve">MODLITBA Vojtěch </v>
      </c>
      <c r="E140" s="65" t="str">
        <f>VLOOKUP(B140,STARTOVKA,4,0)</f>
        <v xml:space="preserve">H.M. SPORT ČESKÝ KRUMLOV </v>
      </c>
      <c r="F140" s="66">
        <f>VLOOKUP(B140,STARTOVKA,5,0)</f>
        <v>9819</v>
      </c>
      <c r="G140" s="67" t="str">
        <f>VLOOKUP(B140,STARTOVKA,6,0)</f>
        <v>JUNIOR</v>
      </c>
      <c r="H140" s="67" t="str">
        <f>VLOOKUP(B140,STARTOVKA,7,0)</f>
        <v>RCA</v>
      </c>
      <c r="I140" s="199" t="s">
        <v>121</v>
      </c>
      <c r="J140" s="31"/>
      <c r="K140" s="31"/>
      <c r="P140" s="36"/>
      <c r="Q140" s="43">
        <v>138</v>
      </c>
      <c r="R140" s="153" t="s">
        <v>121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152</v>
      </c>
      <c r="C141" s="63" t="str">
        <f>VLOOKUP(B141,STARTOVKA,2,0)</f>
        <v>CZE19970417</v>
      </c>
      <c r="D141" s="64" t="str">
        <f>VLOOKUP(B141,STARTOVKA,3,0)</f>
        <v>KUBEŠ Martin</v>
      </c>
      <c r="E141" s="65" t="str">
        <f>VLOOKUP(B141,STARTOVKA,4,0)</f>
        <v>CK DACOM PHARMA KYJOV</v>
      </c>
      <c r="F141" s="66">
        <f>VLOOKUP(B141,STARTOVKA,5,0)</f>
        <v>13287</v>
      </c>
      <c r="G141" s="67" t="str">
        <f>VLOOKUP(B141,STARTOVKA,6,0)</f>
        <v>JUNIOR*</v>
      </c>
      <c r="H141" s="67" t="str">
        <f>VLOOKUP(B141,STARTOVKA,7,0)</f>
        <v>SKC</v>
      </c>
      <c r="I141" s="199" t="s">
        <v>121</v>
      </c>
      <c r="J141" s="31"/>
      <c r="K141" s="31"/>
      <c r="P141" s="36">
        <v>78</v>
      </c>
      <c r="Q141" s="43">
        <v>152</v>
      </c>
      <c r="R141" s="41">
        <v>7.8287037037037044E-2</v>
      </c>
      <c r="S141" s="35">
        <v>0</v>
      </c>
      <c r="T141" s="37">
        <v>111</v>
      </c>
      <c r="U141" s="44">
        <v>152</v>
      </c>
      <c r="V141" s="240">
        <v>8.3940393518518279E-3</v>
      </c>
      <c r="W141" s="38"/>
      <c r="X141" s="36"/>
      <c r="Y141" s="43">
        <v>152</v>
      </c>
      <c r="Z141" s="41" t="s">
        <v>127</v>
      </c>
      <c r="AA141" s="35">
        <v>0</v>
      </c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609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115</v>
      </c>
      <c r="C147" s="1"/>
      <c r="D147" s="151" t="s">
        <v>631</v>
      </c>
      <c r="E147" s="15" t="str">
        <f xml:space="preserve"> "    " &amp; B147 &amp; IF(LEN(B147)=2,"   ",IF(LEN(B147)=1,"      ","")) &amp; "  -   "&amp; VLOOKUP(B147,STARTOVKA,3)</f>
        <v xml:space="preserve">    115  -   KOCH Chrisitan</v>
      </c>
    </row>
    <row r="148" spans="2:18" s="5" customFormat="1" ht="15" customHeight="1" x14ac:dyDescent="0.2">
      <c r="B148" s="192">
        <v>2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2        -   SCHUCHMANN Franz-Leon</v>
      </c>
    </row>
    <row r="149" spans="2:18" s="5" customFormat="1" ht="15" customHeight="1" x14ac:dyDescent="0.2">
      <c r="B149" s="192">
        <v>101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101  -   BAŘTIPÁN Josef 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2"/>
      <c r="C153" s="32" t="s">
        <v>610</v>
      </c>
      <c r="D153" s="33"/>
      <c r="E153" s="33"/>
      <c r="F153" s="33"/>
    </row>
    <row r="154" spans="2:18" s="5" customFormat="1" ht="5.25" customHeight="1" x14ac:dyDescent="0.2">
      <c r="B154" s="10"/>
      <c r="C154" s="9"/>
      <c r="D154" s="11"/>
      <c r="E154" s="8"/>
    </row>
    <row r="155" spans="2:18" s="5" customFormat="1" ht="12" customHeight="1" x14ac:dyDescent="0.2">
      <c r="B155" s="18">
        <v>1</v>
      </c>
      <c r="C155" s="135" t="s">
        <v>170</v>
      </c>
      <c r="D155" s="70" t="str">
        <f t="shared" ref="D155:D172" si="0">IFERROR(MID(VLOOKUP($C155,ODDIL,2,0),1,FIND(",",VLOOKUP($C155,ODDIL,2,0),1)-1) &amp;  "…", VLOOKUP($C155,ODDIL,2,0))</f>
        <v>TEAM BRANDENBURG - RSC COTTBUS</v>
      </c>
    </row>
    <row r="156" spans="2:18" s="5" customFormat="1" ht="12" customHeight="1" x14ac:dyDescent="0.2">
      <c r="B156" s="18">
        <v>2</v>
      </c>
      <c r="C156" s="135" t="s">
        <v>43</v>
      </c>
      <c r="D156" s="70" t="str">
        <f t="shared" si="0"/>
        <v xml:space="preserve">SLOVAK CYCLING FEDERATION </v>
      </c>
      <c r="R156" s="117"/>
    </row>
    <row r="157" spans="2:18" s="5" customFormat="1" ht="12" customHeight="1" x14ac:dyDescent="0.2">
      <c r="B157" s="18">
        <v>3</v>
      </c>
      <c r="C157" s="135" t="s">
        <v>250</v>
      </c>
      <c r="D157" s="70" t="str">
        <f t="shared" si="0"/>
        <v>KC KOOPERATIVA SG JABLONEC N.N…</v>
      </c>
      <c r="G157" s="165"/>
      <c r="R157" s="118"/>
    </row>
    <row r="158" spans="2:18" s="5" customFormat="1" ht="12" customHeight="1" x14ac:dyDescent="0.2">
      <c r="B158" s="18">
        <v>4</v>
      </c>
      <c r="C158" s="135" t="s">
        <v>310</v>
      </c>
      <c r="D158" s="70" t="str">
        <f t="shared" si="0"/>
        <v xml:space="preserve">MAPEI CYKLO KAŇKOVSKÝ </v>
      </c>
      <c r="F158" s="15"/>
    </row>
    <row r="159" spans="2:18" s="5" customFormat="1" ht="12" customHeight="1" x14ac:dyDescent="0.2">
      <c r="B159" s="18">
        <v>5</v>
      </c>
      <c r="C159" s="135" t="s">
        <v>211</v>
      </c>
      <c r="D159" s="70" t="str">
        <f t="shared" si="0"/>
        <v>GRUPA KOLARSKA GLIWICE BA…</v>
      </c>
    </row>
    <row r="160" spans="2:18" s="5" customFormat="1" ht="12" customHeight="1" x14ac:dyDescent="0.2">
      <c r="B160" s="18">
        <v>6</v>
      </c>
      <c r="C160" s="135" t="s">
        <v>274</v>
      </c>
      <c r="D160" s="70" t="str">
        <f t="shared" si="0"/>
        <v>TJ STADION LOUNY …</v>
      </c>
      <c r="F160" s="223"/>
      <c r="G160" s="223"/>
      <c r="H160" s="223"/>
      <c r="I160" s="223"/>
      <c r="J160" s="223"/>
    </row>
    <row r="161" spans="1:11" s="5" customFormat="1" ht="12" customHeight="1" x14ac:dyDescent="0.2">
      <c r="B161" s="18">
        <v>7</v>
      </c>
      <c r="C161" s="135" t="s">
        <v>360</v>
      </c>
      <c r="D161" s="70" t="str">
        <f t="shared" si="0"/>
        <v>RC ARBÖ WELS GOURMETFEIN…</v>
      </c>
      <c r="F161" s="223"/>
      <c r="G161" s="223"/>
      <c r="H161" s="223"/>
      <c r="I161" s="223"/>
      <c r="J161" s="223"/>
    </row>
    <row r="162" spans="1:11" s="5" customFormat="1" ht="12" customHeight="1" x14ac:dyDescent="0.2">
      <c r="B162" s="18">
        <v>8</v>
      </c>
      <c r="C162" s="135" t="s">
        <v>100</v>
      </c>
      <c r="D162" s="70" t="str">
        <f t="shared" si="0"/>
        <v>SKC TUFO PROSTĚJOV…</v>
      </c>
      <c r="F162" s="223"/>
      <c r="G162" s="223"/>
      <c r="H162" s="223"/>
      <c r="I162" s="223"/>
      <c r="J162" s="223"/>
    </row>
    <row r="163" spans="1:11" s="5" customFormat="1" ht="12" customHeight="1" x14ac:dyDescent="0.2">
      <c r="B163" s="18">
        <v>9</v>
      </c>
      <c r="C163" s="135" t="s">
        <v>346</v>
      </c>
      <c r="D163" s="70" t="str">
        <f t="shared" si="0"/>
        <v>TJ KOVO PRAHA…</v>
      </c>
      <c r="F163" s="223"/>
      <c r="G163" s="223"/>
      <c r="H163" s="223"/>
      <c r="I163" s="223"/>
      <c r="J163" s="223"/>
    </row>
    <row r="164" spans="1:11" s="5" customFormat="1" ht="12" customHeight="1" x14ac:dyDescent="0.2">
      <c r="B164" s="18">
        <v>10</v>
      </c>
      <c r="C164" s="135" t="s">
        <v>478</v>
      </c>
      <c r="D164" s="70" t="str">
        <f t="shared" si="0"/>
        <v>RSC TURBINE ERFURT…</v>
      </c>
      <c r="F164" s="223"/>
      <c r="G164" s="223"/>
      <c r="H164" s="223"/>
      <c r="I164" s="223"/>
      <c r="J164" s="223"/>
    </row>
    <row r="165" spans="1:11" s="5" customFormat="1" ht="12" customHeight="1" x14ac:dyDescent="0.2">
      <c r="B165" s="18">
        <v>11</v>
      </c>
      <c r="C165" s="135" t="s">
        <v>99</v>
      </c>
      <c r="D165" s="70" t="str">
        <f t="shared" si="0"/>
        <v>RUSSIAN CYCLING FEDERATION</v>
      </c>
      <c r="F165" s="223"/>
      <c r="G165" s="223"/>
      <c r="H165" s="223"/>
      <c r="I165" s="223"/>
      <c r="J165" s="223"/>
    </row>
    <row r="166" spans="1:11" s="5" customFormat="1" ht="12" customHeight="1" x14ac:dyDescent="0.2">
      <c r="B166" s="18">
        <v>12</v>
      </c>
      <c r="C166" s="135" t="s">
        <v>381</v>
      </c>
      <c r="D166" s="70" t="str">
        <f t="shared" si="0"/>
        <v>RG BERLIN</v>
      </c>
      <c r="F166" s="15"/>
      <c r="G166" s="15"/>
      <c r="H166" s="15"/>
      <c r="I166" s="15"/>
      <c r="J166" s="15"/>
    </row>
    <row r="167" spans="1:11" s="5" customFormat="1" ht="12" customHeight="1" x14ac:dyDescent="0.2">
      <c r="B167" s="18">
        <v>13</v>
      </c>
      <c r="C167" s="135" t="s">
        <v>294</v>
      </c>
      <c r="D167" s="70" t="str">
        <f t="shared" si="0"/>
        <v xml:space="preserve">LRV STEIERMARK </v>
      </c>
      <c r="F167" s="223"/>
      <c r="G167" s="223"/>
      <c r="H167" s="223"/>
      <c r="I167" s="223"/>
      <c r="J167" s="223"/>
    </row>
    <row r="168" spans="1:11" s="5" customFormat="1" ht="12" customHeight="1" x14ac:dyDescent="0.2">
      <c r="B168" s="18">
        <v>14</v>
      </c>
      <c r="C168" s="135" t="s">
        <v>42</v>
      </c>
      <c r="D168" s="70" t="str">
        <f t="shared" si="0"/>
        <v xml:space="preserve">TJ FAVORIT BRNO </v>
      </c>
      <c r="F168" s="223"/>
      <c r="G168" s="223"/>
      <c r="H168" s="223"/>
      <c r="I168" s="223"/>
      <c r="J168" s="223"/>
    </row>
    <row r="169" spans="1:11" s="5" customFormat="1" ht="12" customHeight="1" x14ac:dyDescent="0.2">
      <c r="B169" s="18">
        <v>15</v>
      </c>
      <c r="C169" s="135" t="s">
        <v>332</v>
      </c>
      <c r="D169" s="70" t="str">
        <f t="shared" si="0"/>
        <v>REMERX - MERIDA TEAM KOLÍN…</v>
      </c>
      <c r="F169" s="223"/>
      <c r="G169" s="223"/>
      <c r="H169" s="223"/>
      <c r="I169" s="223"/>
      <c r="J169" s="223"/>
    </row>
    <row r="170" spans="1:11" s="5" customFormat="1" ht="12" customHeight="1" x14ac:dyDescent="0.2">
      <c r="B170" s="18">
        <v>16</v>
      </c>
      <c r="C170" s="135" t="s">
        <v>405</v>
      </c>
      <c r="D170" s="70" t="str">
        <f t="shared" si="0"/>
        <v>JUNIOREN SCHWALBE TEAM SACHSEN</v>
      </c>
      <c r="F170" s="223"/>
      <c r="G170" s="223"/>
      <c r="H170" s="223"/>
      <c r="I170" s="223"/>
      <c r="J170" s="223"/>
    </row>
    <row r="171" spans="1:11" s="5" customFormat="1" ht="12" customHeight="1" x14ac:dyDescent="0.2">
      <c r="B171" s="18">
        <v>17</v>
      </c>
      <c r="C171" s="135" t="s">
        <v>236</v>
      </c>
      <c r="D171" s="70" t="str">
        <f t="shared" si="0"/>
        <v xml:space="preserve">DSR AUTHOR GÓRNIK WAŁBRZYCH </v>
      </c>
      <c r="F171" s="223"/>
      <c r="G171" s="223"/>
      <c r="H171" s="223"/>
      <c r="I171" s="223"/>
      <c r="J171" s="223"/>
    </row>
    <row r="172" spans="1:11" s="5" customFormat="1" ht="12" customHeight="1" x14ac:dyDescent="0.2">
      <c r="B172" s="18">
        <v>18</v>
      </c>
      <c r="C172" s="135" t="s">
        <v>452</v>
      </c>
      <c r="D172" s="70" t="str">
        <f t="shared" si="0"/>
        <v>SLÁVIA ŠG TRENČÍN…</v>
      </c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</row>
    <row r="186" spans="1:11" ht="11.45" customHeight="1" x14ac:dyDescent="0.2">
      <c r="A186" s="255" t="s">
        <v>44</v>
      </c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</row>
  </sheetData>
  <sortState ref="B127:AA141">
    <sortCondition ref="B127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4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zoomScaleNormal="100" workbookViewId="0">
      <selection sqref="A1:S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6" width="8.85546875" style="123"/>
    <col min="37" max="37" width="20.7109375" bestFit="1" customWidth="1"/>
  </cols>
  <sheetData>
    <row r="1" spans="1:36" ht="33.75" customHeight="1" x14ac:dyDescent="0.2">
      <c r="A1" s="286" t="str">
        <f>CTRL!B7</f>
        <v>R E G I O N E M   O R L I C K A   L A N Š K R O U N   2 0 1 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178"/>
      <c r="U1" s="197" t="s">
        <v>120</v>
      </c>
    </row>
    <row r="2" spans="1:36" ht="15.75" x14ac:dyDescent="0.2">
      <c r="A2" s="287" t="str">
        <f>CTRL!B8</f>
        <v>28. ročník mezinárodního cyklistického závodu juniorů / 28th edition of international cycling race of juniors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179"/>
    </row>
    <row r="3" spans="1:36" ht="18.75" x14ac:dyDescent="0.3">
      <c r="D3" s="288" t="str">
        <f>CTRL!B23</f>
        <v>po 2. etapě / after 2nd Stage</v>
      </c>
      <c r="E3" s="288"/>
      <c r="F3" s="288"/>
      <c r="G3" s="288"/>
      <c r="H3" s="288"/>
      <c r="I3" s="288"/>
      <c r="J3" s="288"/>
      <c r="K3" s="288"/>
      <c r="L3" s="288"/>
      <c r="S3" s="94" t="str">
        <f>"Com.no.: 15/" &amp; CTRL!B27</f>
        <v>Com.no.: 15/31</v>
      </c>
      <c r="T3" s="180"/>
      <c r="W3" s="196" t="s">
        <v>549</v>
      </c>
    </row>
    <row r="4" spans="1:36" x14ac:dyDescent="0.2">
      <c r="A4" s="13" t="str">
        <f>"Datum / Date: "&amp;TEXT(CTRL!B11,"dd.mm.rrrr")</f>
        <v>Datum / Date: 09.08.2014</v>
      </c>
      <c r="S4" s="95" t="str">
        <f>"Místo konání / Place: "&amp;CTRL!B16&amp;""</f>
        <v>Místo konání / Place: Lanškroun (CZE)</v>
      </c>
      <c r="T4" s="181"/>
    </row>
    <row r="5" spans="1:36" ht="21" x14ac:dyDescent="0.2">
      <c r="A5" s="289" t="s">
        <v>130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182"/>
      <c r="AA5" s="196" t="s">
        <v>545</v>
      </c>
    </row>
    <row r="6" spans="1:36" ht="10.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182"/>
    </row>
    <row r="7" spans="1:36" x14ac:dyDescent="0.2">
      <c r="A7" s="217" t="s">
        <v>0</v>
      </c>
      <c r="B7" s="217" t="s">
        <v>1</v>
      </c>
      <c r="C7" s="217" t="s">
        <v>2</v>
      </c>
      <c r="D7" s="217" t="s">
        <v>3</v>
      </c>
      <c r="E7" s="217" t="s">
        <v>4</v>
      </c>
      <c r="F7" s="290" t="s">
        <v>71</v>
      </c>
      <c r="G7" s="290"/>
      <c r="H7" s="290"/>
      <c r="I7" s="290" t="s">
        <v>18</v>
      </c>
      <c r="J7" s="290"/>
      <c r="K7" s="290"/>
      <c r="L7" s="290" t="s">
        <v>73</v>
      </c>
      <c r="M7" s="290"/>
      <c r="N7" s="290"/>
      <c r="O7" s="290"/>
      <c r="P7" s="290" t="s">
        <v>74</v>
      </c>
      <c r="Q7" s="290"/>
      <c r="R7" s="290"/>
      <c r="S7" s="217" t="s">
        <v>20</v>
      </c>
      <c r="T7" s="183"/>
    </row>
    <row r="8" spans="1:36" x14ac:dyDescent="0.2">
      <c r="A8" s="215" t="s">
        <v>6</v>
      </c>
      <c r="B8" s="215" t="s">
        <v>7</v>
      </c>
      <c r="C8" s="215" t="s">
        <v>8</v>
      </c>
      <c r="D8" s="215" t="s">
        <v>9</v>
      </c>
      <c r="E8" s="215" t="s">
        <v>14</v>
      </c>
      <c r="F8" s="281" t="s">
        <v>72</v>
      </c>
      <c r="G8" s="281"/>
      <c r="H8" s="281"/>
      <c r="I8" s="281" t="s">
        <v>75</v>
      </c>
      <c r="J8" s="281"/>
      <c r="K8" s="281"/>
      <c r="L8" s="281" t="s">
        <v>76</v>
      </c>
      <c r="M8" s="281"/>
      <c r="N8" s="281"/>
      <c r="O8" s="281"/>
      <c r="P8" s="281" t="s">
        <v>77</v>
      </c>
      <c r="Q8" s="281"/>
      <c r="R8" s="281"/>
      <c r="S8" s="215" t="s">
        <v>21</v>
      </c>
      <c r="T8" s="184"/>
      <c r="V8" s="124"/>
    </row>
    <row r="9" spans="1:36" ht="9.75" customHeight="1" thickBot="1" x14ac:dyDescent="0.25"/>
    <row r="10" spans="1:36" ht="44.1" customHeight="1" x14ac:dyDescent="0.2">
      <c r="A10" s="278" t="s">
        <v>70</v>
      </c>
      <c r="B10" s="278"/>
      <c r="C10" s="278"/>
      <c r="D10" s="278"/>
      <c r="E10" s="278"/>
      <c r="F10" s="268" t="s">
        <v>534</v>
      </c>
      <c r="G10" s="268" t="s">
        <v>535</v>
      </c>
      <c r="H10" s="270" t="s">
        <v>33</v>
      </c>
      <c r="I10" s="282"/>
      <c r="J10" s="284"/>
      <c r="K10" s="270" t="s">
        <v>96</v>
      </c>
      <c r="L10" s="272"/>
      <c r="M10" s="268"/>
      <c r="N10" s="268"/>
      <c r="O10" s="270" t="s">
        <v>97</v>
      </c>
      <c r="P10" s="272"/>
      <c r="Q10" s="268"/>
      <c r="R10" s="270" t="s">
        <v>98</v>
      </c>
      <c r="S10" s="214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6" ht="18.95" customHeight="1" x14ac:dyDescent="0.2">
      <c r="A11" s="96"/>
      <c r="B11" s="276"/>
      <c r="C11" s="277"/>
      <c r="D11" s="277"/>
      <c r="E11" s="277"/>
      <c r="F11" s="269"/>
      <c r="G11" s="269"/>
      <c r="H11" s="271"/>
      <c r="I11" s="283"/>
      <c r="J11" s="285"/>
      <c r="K11" s="271"/>
      <c r="L11" s="273"/>
      <c r="M11" s="269"/>
      <c r="N11" s="269"/>
      <c r="O11" s="271"/>
      <c r="P11" s="273"/>
      <c r="Q11" s="269"/>
      <c r="R11" s="271"/>
      <c r="S11" s="97"/>
      <c r="T11" s="186"/>
      <c r="U11" s="123"/>
      <c r="AA11" s="126"/>
    </row>
    <row r="12" spans="1:36" ht="14.1" customHeight="1" x14ac:dyDescent="0.2">
      <c r="A12" s="98">
        <v>1</v>
      </c>
      <c r="B12" s="99">
        <v>116</v>
      </c>
      <c r="C12" s="99" t="str">
        <f t="shared" ref="C12:C34" si="0">VLOOKUP($B12,STARTOVKA,2,0)</f>
        <v>GER19960909</v>
      </c>
      <c r="D12" s="100" t="str">
        <f t="shared" ref="D12:D34" si="1">VLOOKUP($B12,STARTOVKA,3,0)</f>
        <v>KÄMNA Lennard</v>
      </c>
      <c r="E12" s="101" t="str">
        <f t="shared" ref="E12:E34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>
        <v>10</v>
      </c>
      <c r="L12" s="102"/>
      <c r="M12" s="102"/>
      <c r="N12" s="102"/>
      <c r="O12" s="102"/>
      <c r="P12" s="102"/>
      <c r="Q12" s="102"/>
      <c r="R12" s="102"/>
      <c r="S12" s="103">
        <f t="shared" ref="S12:S34" si="3">SUM(F12:R12)</f>
        <v>35</v>
      </c>
      <c r="T12" s="187"/>
      <c r="U12" s="191" t="e">
        <f ca="1">VLOOKUP(B12,INDIRECT($U$1),12,0)</f>
        <v>#REF!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0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6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 t="e">
        <f t="shared" ref="U13:U47" ca="1" si="6">VLOOKUP(B13,INDIRECT($U$1),12,0)</f>
        <v>#REF!</v>
      </c>
      <c r="V13" s="127" t="e">
        <f t="shared" si="4"/>
        <v>#N/A</v>
      </c>
      <c r="W13" s="191">
        <f t="shared" ca="1" si="5"/>
        <v>0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6" s="20" customFormat="1" ht="14.1" customHeight="1" x14ac:dyDescent="0.2">
      <c r="A14" s="98">
        <v>3</v>
      </c>
      <c r="B14" s="99">
        <v>182</v>
      </c>
      <c r="C14" s="99" t="str">
        <f t="shared" si="0"/>
        <v>AUT19960709</v>
      </c>
      <c r="D14" s="100" t="str">
        <f t="shared" si="1"/>
        <v>KOPFAUF Markus</v>
      </c>
      <c r="E14" s="101" t="str">
        <f t="shared" si="2"/>
        <v xml:space="preserve">LRV STEIERMARK </v>
      </c>
      <c r="F14" s="102"/>
      <c r="G14" s="102"/>
      <c r="H14" s="102">
        <v>8</v>
      </c>
      <c r="I14" s="102"/>
      <c r="J14" s="102"/>
      <c r="K14" s="102">
        <v>8</v>
      </c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 t="e">
        <f t="shared" ca="1" si="6"/>
        <v>#REF!</v>
      </c>
      <c r="V14" s="127" t="e">
        <f t="shared" si="4"/>
        <v>#N/A</v>
      </c>
      <c r="W14" s="191">
        <f t="shared" ca="1" si="5"/>
        <v>0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</row>
    <row r="15" spans="1:36" s="20" customFormat="1" ht="14.1" customHeight="1" x14ac:dyDescent="0.2">
      <c r="A15" s="98">
        <v>4</v>
      </c>
      <c r="B15" s="99">
        <v>143</v>
      </c>
      <c r="C15" s="99" t="str">
        <f t="shared" si="0"/>
        <v>CZE19960606</v>
      </c>
      <c r="D15" s="100" t="str">
        <f t="shared" si="1"/>
        <v xml:space="preserve">KOVÁŘ Jan </v>
      </c>
      <c r="E15" s="101" t="str">
        <f t="shared" si="2"/>
        <v xml:space="preserve">MAPEI CYKLO KAŇKOVSKÝ </v>
      </c>
      <c r="F15" s="102"/>
      <c r="G15" s="102"/>
      <c r="H15" s="102">
        <v>16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16</v>
      </c>
      <c r="T15" s="187"/>
      <c r="U15" s="191" t="e">
        <f t="shared" ca="1" si="6"/>
        <v>#REF!</v>
      </c>
      <c r="V15" s="127" t="e">
        <f t="shared" si="4"/>
        <v>#N/A</v>
      </c>
      <c r="W15" s="191">
        <f t="shared" ca="1" si="5"/>
        <v>0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</row>
    <row r="16" spans="1:36" s="20" customFormat="1" ht="14.1" customHeight="1" x14ac:dyDescent="0.2">
      <c r="A16" s="98">
        <v>5</v>
      </c>
      <c r="B16" s="99">
        <v>117</v>
      </c>
      <c r="C16" s="99" t="str">
        <f t="shared" si="0"/>
        <v>GER19971022</v>
      </c>
      <c r="D16" s="100" t="str">
        <f t="shared" si="1"/>
        <v>KANTER Max</v>
      </c>
      <c r="E16" s="101" t="str">
        <f t="shared" si="2"/>
        <v>TEAM BRANDENBURG - RSC COTTBUS</v>
      </c>
      <c r="F16" s="102"/>
      <c r="G16" s="102"/>
      <c r="H16" s="102">
        <v>7</v>
      </c>
      <c r="I16" s="102"/>
      <c r="J16" s="102"/>
      <c r="K16" s="102">
        <v>7</v>
      </c>
      <c r="L16" s="102"/>
      <c r="M16" s="102"/>
      <c r="N16" s="102"/>
      <c r="O16" s="102"/>
      <c r="P16" s="102"/>
      <c r="Q16" s="102"/>
      <c r="R16" s="102"/>
      <c r="S16" s="103">
        <f t="shared" si="3"/>
        <v>14</v>
      </c>
      <c r="T16" s="187"/>
      <c r="U16" s="191" t="e">
        <f t="shared" ca="1" si="6"/>
        <v>#REF!</v>
      </c>
      <c r="V16" s="127" t="e">
        <f t="shared" si="4"/>
        <v>#N/A</v>
      </c>
      <c r="W16" s="191">
        <f t="shared" ca="1" si="5"/>
        <v>0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</row>
    <row r="17" spans="1:36" s="20" customFormat="1" ht="14.1" customHeight="1" x14ac:dyDescent="0.2">
      <c r="A17" s="98">
        <v>6</v>
      </c>
      <c r="B17" s="99">
        <v>93</v>
      </c>
      <c r="C17" s="99" t="str">
        <f t="shared" si="0"/>
        <v>CZE19960424</v>
      </c>
      <c r="D17" s="100" t="str">
        <f t="shared" si="1"/>
        <v xml:space="preserve">GRUBER Pavel </v>
      </c>
      <c r="E17" s="101" t="str">
        <f t="shared" si="2"/>
        <v xml:space="preserve">TJ FAVORIT BRNO </v>
      </c>
      <c r="F17" s="102"/>
      <c r="G17" s="102"/>
      <c r="H17" s="102">
        <v>14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3">
        <f t="shared" si="3"/>
        <v>14</v>
      </c>
      <c r="T17" s="187"/>
      <c r="U17" s="191" t="e">
        <f t="shared" ca="1" si="6"/>
        <v>#REF!</v>
      </c>
      <c r="V17" s="127">
        <f t="shared" si="4"/>
        <v>20</v>
      </c>
      <c r="W17" s="191">
        <f t="shared" ca="1" si="5"/>
        <v>0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</row>
    <row r="18" spans="1:36" s="20" customFormat="1" ht="14.1" customHeight="1" x14ac:dyDescent="0.2">
      <c r="A18" s="98">
        <v>7</v>
      </c>
      <c r="B18" s="99">
        <v>113</v>
      </c>
      <c r="C18" s="99" t="str">
        <f t="shared" si="0"/>
        <v>GER19961002</v>
      </c>
      <c r="D18" s="100" t="str">
        <f t="shared" si="1"/>
        <v>ROHDE Louis</v>
      </c>
      <c r="E18" s="101" t="str">
        <f t="shared" si="2"/>
        <v>TEAM BRANDENBURG - RSC COTTBUS</v>
      </c>
      <c r="F18" s="102"/>
      <c r="G18" s="102"/>
      <c r="H18" s="102">
        <v>12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12</v>
      </c>
      <c r="T18" s="187"/>
      <c r="U18" s="191" t="e">
        <f t="shared" ca="1" si="6"/>
        <v>#REF!</v>
      </c>
      <c r="V18" s="127" t="e">
        <f t="shared" si="4"/>
        <v>#N/A</v>
      </c>
      <c r="W18" s="191">
        <f t="shared" ca="1" si="5"/>
        <v>0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</row>
    <row r="19" spans="1:36" s="20" customFormat="1" ht="14.1" customHeight="1" x14ac:dyDescent="0.2">
      <c r="A19" s="98">
        <v>8</v>
      </c>
      <c r="B19" s="99">
        <v>115</v>
      </c>
      <c r="C19" s="99" t="str">
        <f t="shared" si="0"/>
        <v>GER19961029</v>
      </c>
      <c r="D19" s="100" t="str">
        <f t="shared" si="1"/>
        <v>KOCH Chrisitan</v>
      </c>
      <c r="E19" s="101" t="str">
        <f t="shared" si="2"/>
        <v>TEAM BRANDENBURG - RSC COTTBUS</v>
      </c>
      <c r="F19" s="102">
        <v>2</v>
      </c>
      <c r="G19" s="102"/>
      <c r="H19" s="102"/>
      <c r="I19" s="102"/>
      <c r="J19" s="102"/>
      <c r="K19" s="102">
        <v>9</v>
      </c>
      <c r="L19" s="102"/>
      <c r="M19" s="102"/>
      <c r="N19" s="102"/>
      <c r="O19" s="102"/>
      <c r="P19" s="102"/>
      <c r="Q19" s="102"/>
      <c r="R19" s="102"/>
      <c r="S19" s="103">
        <f t="shared" si="3"/>
        <v>11</v>
      </c>
      <c r="T19" s="187"/>
      <c r="U19" s="191" t="e">
        <f t="shared" ca="1" si="6"/>
        <v>#REF!</v>
      </c>
      <c r="V19" s="127" t="e">
        <f t="shared" si="4"/>
        <v>#N/A</v>
      </c>
      <c r="W19" s="191">
        <f t="shared" ca="1" si="5"/>
        <v>0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</row>
    <row r="20" spans="1:36" s="20" customFormat="1" ht="14.1" customHeight="1" x14ac:dyDescent="0.2">
      <c r="A20" s="98">
        <v>9</v>
      </c>
      <c r="B20" s="99">
        <v>151</v>
      </c>
      <c r="C20" s="99" t="str">
        <f t="shared" si="0"/>
        <v>CZE19960501</v>
      </c>
      <c r="D20" s="100" t="str">
        <f t="shared" si="1"/>
        <v>TOMAN Vojtěch</v>
      </c>
      <c r="E20" s="101" t="str">
        <f t="shared" si="2"/>
        <v>STEVENS ZNOJMO</v>
      </c>
      <c r="F20" s="102">
        <v>1</v>
      </c>
      <c r="G20" s="102"/>
      <c r="H20" s="102">
        <v>10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11</v>
      </c>
      <c r="T20" s="187"/>
      <c r="U20" s="191" t="e">
        <f t="shared" ca="1" si="6"/>
        <v>#REF!</v>
      </c>
      <c r="V20" s="127" t="e">
        <f t="shared" si="4"/>
        <v>#N/A</v>
      </c>
      <c r="W20" s="191">
        <f t="shared" ca="1" si="5"/>
        <v>0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</row>
    <row r="21" spans="1:36" s="20" customFormat="1" ht="14.1" customHeight="1" x14ac:dyDescent="0.2">
      <c r="A21" s="98">
        <v>10</v>
      </c>
      <c r="B21" s="99">
        <v>111</v>
      </c>
      <c r="C21" s="99" t="str">
        <f t="shared" si="0"/>
        <v>GER19960410</v>
      </c>
      <c r="D21" s="100" t="str">
        <f t="shared" si="1"/>
        <v>BECKER Alexander</v>
      </c>
      <c r="E21" s="101" t="str">
        <f t="shared" si="2"/>
        <v>TEAM BRANDENBURG - RSC COTTBUS</v>
      </c>
      <c r="F21" s="102"/>
      <c r="G21" s="102"/>
      <c r="H21" s="102">
        <v>9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9</v>
      </c>
      <c r="T21" s="187"/>
      <c r="U21" s="191" t="e">
        <f t="shared" ca="1" si="6"/>
        <v>#REF!</v>
      </c>
      <c r="V21" s="127" t="e">
        <f t="shared" si="4"/>
        <v>#N/A</v>
      </c>
      <c r="W21" s="191">
        <f t="shared" ca="1" si="5"/>
        <v>0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</row>
    <row r="22" spans="1:36" s="20" customFormat="1" ht="14.1" customHeight="1" x14ac:dyDescent="0.2">
      <c r="A22" s="98">
        <v>11</v>
      </c>
      <c r="B22" s="99">
        <v>150</v>
      </c>
      <c r="C22" s="99" t="str">
        <f t="shared" si="0"/>
        <v>CZE19970926</v>
      </c>
      <c r="D22" s="100" t="str">
        <f t="shared" si="1"/>
        <v xml:space="preserve">BRÁZDA Michal </v>
      </c>
      <c r="E22" s="101" t="str">
        <f t="shared" si="2"/>
        <v xml:space="preserve">MAPEI CYKLO KAŇKOVSKÝ </v>
      </c>
      <c r="F22" s="102"/>
      <c r="G22" s="102">
        <v>2</v>
      </c>
      <c r="H22" s="102">
        <v>6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>
        <f t="shared" si="3"/>
        <v>8</v>
      </c>
      <c r="T22" s="187"/>
      <c r="U22" s="191" t="e">
        <f t="shared" ca="1" si="6"/>
        <v>#REF!</v>
      </c>
      <c r="V22" s="127" t="e">
        <f t="shared" si="4"/>
        <v>#N/A</v>
      </c>
      <c r="W22" s="191">
        <f t="shared" ca="1" si="5"/>
        <v>0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</row>
    <row r="23" spans="1:36" s="20" customFormat="1" ht="14.1" customHeight="1" x14ac:dyDescent="0.2">
      <c r="A23" s="98">
        <v>12</v>
      </c>
      <c r="B23" s="99">
        <v>45</v>
      </c>
      <c r="C23" s="99" t="str">
        <f t="shared" si="0"/>
        <v>CZE19960630</v>
      </c>
      <c r="D23" s="100" t="str">
        <f t="shared" si="1"/>
        <v xml:space="preserve">LEHKÝ Roman </v>
      </c>
      <c r="E23" s="101" t="str">
        <f t="shared" si="2"/>
        <v>KC KOOPERATIVA SG JABLONEC N.N</v>
      </c>
      <c r="F23" s="102"/>
      <c r="G23" s="102"/>
      <c r="H23" s="102"/>
      <c r="I23" s="102"/>
      <c r="J23" s="102"/>
      <c r="K23" s="102">
        <v>6</v>
      </c>
      <c r="L23" s="102"/>
      <c r="M23" s="102"/>
      <c r="N23" s="102"/>
      <c r="O23" s="102"/>
      <c r="P23" s="102"/>
      <c r="Q23" s="102"/>
      <c r="R23" s="102"/>
      <c r="S23" s="103">
        <f t="shared" si="3"/>
        <v>6</v>
      </c>
      <c r="T23" s="187"/>
      <c r="U23" s="191" t="e">
        <f t="shared" ca="1" si="6"/>
        <v>#REF!</v>
      </c>
      <c r="V23" s="127" t="e">
        <f t="shared" si="4"/>
        <v>#N/A</v>
      </c>
      <c r="W23" s="191">
        <f t="shared" ca="1" si="5"/>
        <v>0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</row>
    <row r="24" spans="1:36" s="20" customFormat="1" ht="14.1" customHeight="1" x14ac:dyDescent="0.2">
      <c r="A24" s="98">
        <v>13</v>
      </c>
      <c r="B24" s="99">
        <v>175</v>
      </c>
      <c r="C24" s="99" t="str">
        <f t="shared" si="0"/>
        <v>SVK19960415</v>
      </c>
      <c r="D24" s="100" t="str">
        <f t="shared" si="1"/>
        <v>ZVERKO David</v>
      </c>
      <c r="E24" s="101" t="str">
        <f t="shared" si="2"/>
        <v xml:space="preserve">SLOVAK CYCLING FEDERATION </v>
      </c>
      <c r="F24" s="102">
        <v>3</v>
      </c>
      <c r="G24" s="102"/>
      <c r="H24" s="102"/>
      <c r="I24" s="102"/>
      <c r="J24" s="102"/>
      <c r="K24" s="102">
        <v>3</v>
      </c>
      <c r="L24" s="102"/>
      <c r="M24" s="102"/>
      <c r="N24" s="102"/>
      <c r="O24" s="102"/>
      <c r="P24" s="102"/>
      <c r="Q24" s="102"/>
      <c r="R24" s="102"/>
      <c r="S24" s="103">
        <f t="shared" si="3"/>
        <v>6</v>
      </c>
      <c r="T24" s="187"/>
      <c r="U24" s="191" t="e">
        <f t="shared" ca="1" si="6"/>
        <v>#REF!</v>
      </c>
      <c r="V24" s="127" t="e">
        <f t="shared" si="4"/>
        <v>#N/A</v>
      </c>
      <c r="W24" s="191">
        <f t="shared" ca="1" si="5"/>
        <v>0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</row>
    <row r="25" spans="1:36" s="20" customFormat="1" ht="14.1" customHeight="1" x14ac:dyDescent="0.2">
      <c r="A25" s="98">
        <v>14</v>
      </c>
      <c r="B25" s="99">
        <v>62</v>
      </c>
      <c r="C25" s="99" t="str">
        <f t="shared" si="0"/>
        <v>POL19970228</v>
      </c>
      <c r="D25" s="100" t="str">
        <f t="shared" si="1"/>
        <v>SKIBIŃSKI Krzysztof</v>
      </c>
      <c r="E25" s="101" t="str">
        <f t="shared" si="2"/>
        <v xml:space="preserve">DSR AUTHOR GÓRNIK WAŁBRZYCH </v>
      </c>
      <c r="F25" s="102"/>
      <c r="G25" s="102"/>
      <c r="H25" s="102"/>
      <c r="I25" s="102"/>
      <c r="J25" s="102"/>
      <c r="K25" s="102">
        <v>5</v>
      </c>
      <c r="L25" s="102"/>
      <c r="M25" s="102"/>
      <c r="N25" s="102"/>
      <c r="O25" s="102"/>
      <c r="P25" s="102"/>
      <c r="Q25" s="102"/>
      <c r="R25" s="102"/>
      <c r="S25" s="103">
        <f t="shared" si="3"/>
        <v>5</v>
      </c>
      <c r="T25" s="187"/>
      <c r="U25" s="191" t="e">
        <f t="shared" ca="1" si="6"/>
        <v>#REF!</v>
      </c>
      <c r="V25" s="127">
        <f t="shared" si="4"/>
        <v>3</v>
      </c>
      <c r="W25" s="191">
        <f t="shared" ca="1" si="5"/>
        <v>0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</row>
    <row r="26" spans="1:36" s="20" customFormat="1" ht="14.1" customHeight="1" x14ac:dyDescent="0.2">
      <c r="A26" s="98">
        <v>15</v>
      </c>
      <c r="B26" s="99">
        <v>83</v>
      </c>
      <c r="C26" s="99" t="str">
        <f t="shared" si="0"/>
        <v>CZE19960724</v>
      </c>
      <c r="D26" s="100" t="str">
        <f t="shared" si="1"/>
        <v xml:space="preserve">BECHYNĚ Matěj </v>
      </c>
      <c r="E26" s="101" t="str">
        <f t="shared" si="2"/>
        <v>VZW TIELTSE RENNERSCLUB - JIELKER GELDHOF</v>
      </c>
      <c r="F26" s="102"/>
      <c r="G26" s="102"/>
      <c r="H26" s="102">
        <v>5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3">
        <f t="shared" si="3"/>
        <v>5</v>
      </c>
      <c r="T26" s="187"/>
      <c r="U26" s="191" t="e">
        <f ca="1">VLOOKUP(B26,INDIRECT($U$1),12,0)</f>
        <v>#REF!</v>
      </c>
      <c r="V26" s="127" t="e">
        <f t="shared" si="4"/>
        <v>#N/A</v>
      </c>
      <c r="W26" s="191">
        <f t="shared" ca="1" si="5"/>
        <v>0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</row>
    <row r="27" spans="1:36" s="20" customFormat="1" ht="14.1" customHeight="1" x14ac:dyDescent="0.2">
      <c r="A27" s="98">
        <v>16</v>
      </c>
      <c r="B27" s="99">
        <v>146</v>
      </c>
      <c r="C27" s="99" t="str">
        <f t="shared" si="0"/>
        <v>CZE19980130</v>
      </c>
      <c r="D27" s="100" t="str">
        <f t="shared" si="1"/>
        <v xml:space="preserve">OTRUBA Jakub </v>
      </c>
      <c r="E27" s="101" t="str">
        <f t="shared" si="2"/>
        <v xml:space="preserve">MAPEI CYKLO KAŇKOVSKÝ </v>
      </c>
      <c r="F27" s="102"/>
      <c r="G27" s="102"/>
      <c r="H27" s="102"/>
      <c r="I27" s="102"/>
      <c r="J27" s="102"/>
      <c r="K27" s="102">
        <v>4</v>
      </c>
      <c r="L27" s="102"/>
      <c r="M27" s="102"/>
      <c r="N27" s="102"/>
      <c r="O27" s="102"/>
      <c r="P27" s="102"/>
      <c r="Q27" s="102"/>
      <c r="R27" s="102"/>
      <c r="S27" s="103">
        <f t="shared" si="3"/>
        <v>4</v>
      </c>
      <c r="T27" s="187"/>
      <c r="U27" s="191" t="e">
        <f ca="1">VLOOKUP(B27,INDIRECT($U$1),12,0)</f>
        <v>#REF!</v>
      </c>
      <c r="V27" s="127" t="e">
        <f t="shared" si="4"/>
        <v>#N/A</v>
      </c>
      <c r="W27" s="191">
        <f t="shared" ca="1" si="5"/>
        <v>0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</row>
    <row r="28" spans="1:36" s="20" customFormat="1" ht="13.5" customHeight="1" x14ac:dyDescent="0.2">
      <c r="A28" s="98">
        <v>17</v>
      </c>
      <c r="B28" s="99">
        <v>7</v>
      </c>
      <c r="C28" s="99" t="str">
        <f t="shared" si="0"/>
        <v>GER19970419</v>
      </c>
      <c r="D28" s="100" t="str">
        <f t="shared" si="1"/>
        <v>BURCHARDT Karl</v>
      </c>
      <c r="E28" s="101" t="str">
        <f t="shared" si="2"/>
        <v>RSC TURBINE ERFURT</v>
      </c>
      <c r="F28" s="102"/>
      <c r="G28" s="102"/>
      <c r="H28" s="102">
        <v>2</v>
      </c>
      <c r="I28" s="102"/>
      <c r="J28" s="102"/>
      <c r="K28" s="102">
        <v>2</v>
      </c>
      <c r="L28" s="102"/>
      <c r="M28" s="102"/>
      <c r="N28" s="102"/>
      <c r="O28" s="102"/>
      <c r="P28" s="102"/>
      <c r="Q28" s="102"/>
      <c r="R28" s="102"/>
      <c r="S28" s="103">
        <f t="shared" si="3"/>
        <v>4</v>
      </c>
      <c r="T28" s="187"/>
      <c r="U28" s="191" t="e">
        <f ca="1">VLOOKUP(B28,INDIRECT($U$1),12,0)</f>
        <v>#REF!</v>
      </c>
      <c r="V28" s="127">
        <f t="shared" si="4"/>
        <v>14</v>
      </c>
      <c r="W28" s="191">
        <f t="shared" ca="1" si="5"/>
        <v>0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</row>
    <row r="29" spans="1:36" s="20" customFormat="1" ht="13.5" customHeight="1" x14ac:dyDescent="0.2">
      <c r="A29" s="98">
        <v>18</v>
      </c>
      <c r="B29" s="99">
        <v>165</v>
      </c>
      <c r="C29" s="99" t="str">
        <f t="shared" si="0"/>
        <v>RUS19960517</v>
      </c>
      <c r="D29" s="100" t="str">
        <f t="shared" si="1"/>
        <v xml:space="preserve">MARTYSHEV Aleksandr </v>
      </c>
      <c r="E29" s="101" t="str">
        <f t="shared" si="2"/>
        <v>RUSSIAN CYCLING FEDERATION</v>
      </c>
      <c r="F29" s="102"/>
      <c r="G29" s="102"/>
      <c r="H29" s="102">
        <v>4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4</v>
      </c>
      <c r="T29" s="187"/>
      <c r="U29" s="191" t="e">
        <f t="shared" ca="1" si="6"/>
        <v>#REF!</v>
      </c>
      <c r="V29" s="127" t="e">
        <f t="shared" si="4"/>
        <v>#N/A</v>
      </c>
      <c r="W29" s="191">
        <f t="shared" ca="1" si="5"/>
        <v>0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</row>
    <row r="30" spans="1:36" s="20" customFormat="1" ht="13.5" customHeight="1" x14ac:dyDescent="0.2">
      <c r="A30" s="98">
        <v>19</v>
      </c>
      <c r="B30" s="99">
        <v>137</v>
      </c>
      <c r="C30" s="99" t="str">
        <f t="shared" si="0"/>
        <v>AUT19960713</v>
      </c>
      <c r="D30" s="100" t="str">
        <f t="shared" si="1"/>
        <v>PÖPPL Tobias</v>
      </c>
      <c r="E30" s="101" t="str">
        <f t="shared" si="2"/>
        <v>RC WALDING</v>
      </c>
      <c r="F30" s="102"/>
      <c r="G30" s="102"/>
      <c r="H30" s="102">
        <v>3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3</v>
      </c>
      <c r="T30" s="187"/>
      <c r="U30" s="191" t="e">
        <f t="shared" ca="1" si="6"/>
        <v>#REF!</v>
      </c>
      <c r="V30" s="127" t="e">
        <f t="shared" si="4"/>
        <v>#N/A</v>
      </c>
      <c r="W30" s="191">
        <f t="shared" ca="1" si="5"/>
        <v>0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</row>
    <row r="31" spans="1:36" s="20" customFormat="1" ht="13.5" customHeight="1" x14ac:dyDescent="0.2">
      <c r="A31" s="98">
        <v>20</v>
      </c>
      <c r="B31" s="99">
        <v>132</v>
      </c>
      <c r="C31" s="99" t="str">
        <f t="shared" si="0"/>
        <v>AUT19961021</v>
      </c>
      <c r="D31" s="100" t="str">
        <f t="shared" si="1"/>
        <v>KNAPP Daniel</v>
      </c>
      <c r="E31" s="101" t="str">
        <f t="shared" si="2"/>
        <v>UNION RAIFFEISEN RADTEAM TIROL</v>
      </c>
      <c r="F31" s="102"/>
      <c r="G31" s="102">
        <v>3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si="3"/>
        <v>3</v>
      </c>
      <c r="T31" s="187"/>
      <c r="U31" s="191" t="e">
        <f t="shared" ca="1" si="6"/>
        <v>#REF!</v>
      </c>
      <c r="V31" s="127" t="e">
        <f t="shared" si="4"/>
        <v>#N/A</v>
      </c>
      <c r="W31" s="191">
        <f t="shared" ca="1" si="5"/>
        <v>0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</row>
    <row r="32" spans="1:36" s="20" customFormat="1" ht="13.5" customHeight="1" x14ac:dyDescent="0.2">
      <c r="A32" s="98">
        <v>21</v>
      </c>
      <c r="B32" s="99">
        <v>166</v>
      </c>
      <c r="C32" s="99" t="str">
        <f t="shared" si="0"/>
        <v>RUS19960101</v>
      </c>
      <c r="D32" s="100" t="str">
        <f t="shared" si="1"/>
        <v xml:space="preserve">BEZDENEZHNYKH Vadim </v>
      </c>
      <c r="E32" s="101" t="str">
        <f t="shared" si="2"/>
        <v>RUSSIAN CYCLING FEDERATION</v>
      </c>
      <c r="F32" s="102"/>
      <c r="G32" s="102"/>
      <c r="H32" s="102"/>
      <c r="I32" s="102"/>
      <c r="J32" s="102"/>
      <c r="K32" s="102">
        <v>1</v>
      </c>
      <c r="L32" s="102"/>
      <c r="M32" s="102"/>
      <c r="N32" s="102"/>
      <c r="O32" s="102"/>
      <c r="P32" s="102"/>
      <c r="Q32" s="102"/>
      <c r="R32" s="102"/>
      <c r="S32" s="103">
        <f t="shared" si="3"/>
        <v>1</v>
      </c>
      <c r="T32" s="187"/>
      <c r="U32" s="191" t="e">
        <f t="shared" ca="1" si="6"/>
        <v>#REF!</v>
      </c>
      <c r="V32" s="127" t="e">
        <f t="shared" si="4"/>
        <v>#N/A</v>
      </c>
      <c r="W32" s="191">
        <f t="shared" ca="1" si="5"/>
        <v>0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</row>
    <row r="33" spans="1:36" s="20" customFormat="1" ht="13.5" customHeight="1" x14ac:dyDescent="0.2">
      <c r="A33" s="98">
        <v>22</v>
      </c>
      <c r="B33" s="99">
        <v>85</v>
      </c>
      <c r="C33" s="99" t="str">
        <f t="shared" si="0"/>
        <v>CZE19970804</v>
      </c>
      <c r="D33" s="100" t="str">
        <f t="shared" si="1"/>
        <v xml:space="preserve">SPUDIL Martin </v>
      </c>
      <c r="E33" s="101" t="str">
        <f t="shared" si="2"/>
        <v xml:space="preserve">SP KOLO LOAP SPECIALIZED </v>
      </c>
      <c r="F33" s="102"/>
      <c r="G33" s="102"/>
      <c r="H33" s="102">
        <v>1</v>
      </c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3"/>
        <v>1</v>
      </c>
      <c r="T33" s="187"/>
      <c r="U33" s="191" t="e">
        <f t="shared" ca="1" si="6"/>
        <v>#REF!</v>
      </c>
      <c r="V33" s="127" t="e">
        <f t="shared" si="4"/>
        <v>#N/A</v>
      </c>
      <c r="W33" s="191">
        <f t="shared" ca="1" si="5"/>
        <v>0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</row>
    <row r="34" spans="1:36" s="20" customFormat="1" ht="13.5" customHeight="1" x14ac:dyDescent="0.2">
      <c r="A34" s="98">
        <v>23</v>
      </c>
      <c r="B34" s="99">
        <v>12</v>
      </c>
      <c r="C34" s="99" t="str">
        <f t="shared" si="0"/>
        <v>GER19960405</v>
      </c>
      <c r="D34" s="100" t="str">
        <f t="shared" si="1"/>
        <v>WITTE Reinhard</v>
      </c>
      <c r="E34" s="101" t="str">
        <f t="shared" si="2"/>
        <v>JUNIOREN SCHWALBE TEAM SACHSEN</v>
      </c>
      <c r="F34" s="102"/>
      <c r="G34" s="102">
        <v>1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3"/>
        <v>1</v>
      </c>
      <c r="T34" s="187"/>
      <c r="U34" s="191" t="e">
        <f t="shared" ca="1" si="6"/>
        <v>#REF!</v>
      </c>
      <c r="V34" s="127" t="e">
        <f t="shared" si="4"/>
        <v>#N/A</v>
      </c>
      <c r="W34" s="191">
        <f t="shared" ca="1" si="5"/>
        <v>0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</row>
    <row r="35" spans="1:36" s="20" customFormat="1" ht="13.5" hidden="1" customHeight="1" outlineLevel="1" x14ac:dyDescent="0.2">
      <c r="A35" s="98">
        <v>24</v>
      </c>
      <c r="B35" s="99"/>
      <c r="C35" s="99" t="e">
        <f t="shared" ref="C35:C47" si="8">VLOOKUP($B35,STARTOVKA,2,0)</f>
        <v>#N/A</v>
      </c>
      <c r="D35" s="100" t="e">
        <f t="shared" ref="D35:D47" si="9">VLOOKUP($B35,STARTOVKA,3,0)</f>
        <v>#N/A</v>
      </c>
      <c r="E35" s="101" t="e">
        <f t="shared" ref="E35:E47" si="10">VLOOKUP($B35,STARTOVKA,4,0)</f>
        <v>#N/A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>
        <f t="shared" ref="S35:S47" si="11">SUM(F35:R35)</f>
        <v>0</v>
      </c>
      <c r="T35" s="187"/>
      <c r="U35" s="191" t="e">
        <f ca="1">VLOOKUP(B35,INDIRECT($U$1),12,0)</f>
        <v>#REF!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</row>
    <row r="36" spans="1:36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#REF!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</row>
    <row r="37" spans="1:36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#REF!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</row>
    <row r="38" spans="1:36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#REF!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</row>
    <row r="39" spans="1:36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#REF!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</row>
    <row r="40" spans="1:36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#REF!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</row>
    <row r="41" spans="1:36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#REF!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</row>
    <row r="42" spans="1:36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#REF!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</row>
    <row r="43" spans="1:36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#REF!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</row>
    <row r="44" spans="1:36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#REF!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</row>
    <row r="45" spans="1:36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#REF!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</row>
    <row r="46" spans="1:36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#REF!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</row>
    <row r="47" spans="1:36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#REF!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</row>
    <row r="48" spans="1:36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</row>
    <row r="49" spans="1:32" ht="9.75" customHeight="1" thickBot="1" x14ac:dyDescent="0.25"/>
    <row r="50" spans="1:32" ht="44.1" customHeight="1" x14ac:dyDescent="0.2">
      <c r="A50" s="278" t="s">
        <v>136</v>
      </c>
      <c r="B50" s="278"/>
      <c r="C50" s="278"/>
      <c r="D50" s="278"/>
      <c r="E50" s="278"/>
      <c r="F50" s="268" t="s">
        <v>546</v>
      </c>
      <c r="G50" s="268" t="s">
        <v>547</v>
      </c>
      <c r="H50" s="279" t="s">
        <v>548</v>
      </c>
      <c r="I50" s="291"/>
      <c r="J50" s="293"/>
      <c r="K50" s="295"/>
      <c r="L50" s="272"/>
      <c r="M50" s="268"/>
      <c r="N50" s="268"/>
      <c r="O50" s="270"/>
      <c r="P50" s="272"/>
      <c r="Q50" s="268"/>
      <c r="R50" s="268"/>
      <c r="S50" s="214"/>
      <c r="T50" s="185"/>
      <c r="U50" s="125" t="s">
        <v>118</v>
      </c>
      <c r="V50" s="125"/>
      <c r="W50" s="125" t="s">
        <v>110</v>
      </c>
    </row>
    <row r="51" spans="1:32" ht="18.95" customHeight="1" x14ac:dyDescent="0.2">
      <c r="A51" s="106"/>
      <c r="B51" s="274"/>
      <c r="C51" s="275"/>
      <c r="D51" s="275"/>
      <c r="E51" s="275"/>
      <c r="F51" s="269"/>
      <c r="G51" s="269"/>
      <c r="H51" s="280"/>
      <c r="I51" s="292"/>
      <c r="J51" s="294"/>
      <c r="K51" s="296"/>
      <c r="L51" s="273"/>
      <c r="M51" s="269"/>
      <c r="N51" s="269"/>
      <c r="O51" s="271"/>
      <c r="P51" s="273"/>
      <c r="Q51" s="269"/>
      <c r="R51" s="269"/>
      <c r="S51" s="107"/>
      <c r="T51" s="186"/>
    </row>
    <row r="52" spans="1:32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 t="e">
        <f ca="1">VLOOKUP(B52,INDIRECT($U$1),12,0)</f>
        <v>#REF!</v>
      </c>
      <c r="V52" s="127"/>
      <c r="W52" s="191">
        <f ca="1">IFERROR(VLOOKUP(B52,INDIRECT($W$3),1,0),0)</f>
        <v>0</v>
      </c>
      <c r="AE52" s="89" t="s">
        <v>89</v>
      </c>
      <c r="AF52" s="89"/>
    </row>
    <row r="53" spans="1:32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 t="e">
        <f t="shared" ref="U53:U70" ca="1" si="16">VLOOKUP(B53,INDIRECT($U$1),12,0)</f>
        <v>#REF!</v>
      </c>
      <c r="V53" s="127"/>
      <c r="W53" s="191">
        <f t="shared" ref="W53:W70" ca="1" si="17">IFERROR(VLOOKUP(B53,INDIRECT($W$3),1,0),0)</f>
        <v>0</v>
      </c>
      <c r="AE53" s="20"/>
      <c r="AF53" s="20" t="s">
        <v>90</v>
      </c>
    </row>
    <row r="54" spans="1:32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 t="e">
        <f t="shared" ca="1" si="16"/>
        <v>#REF!</v>
      </c>
      <c r="V54" s="127"/>
      <c r="W54" s="191">
        <f t="shared" ca="1" si="17"/>
        <v>0</v>
      </c>
      <c r="AE54" s="20"/>
      <c r="AF54" s="20" t="s">
        <v>88</v>
      </c>
    </row>
    <row r="55" spans="1:32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 t="e">
        <f t="shared" ca="1" si="16"/>
        <v>#REF!</v>
      </c>
      <c r="V55" s="127"/>
      <c r="W55" s="191">
        <f t="shared" ca="1" si="17"/>
        <v>0</v>
      </c>
    </row>
    <row r="56" spans="1:32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 t="e">
        <f t="shared" ca="1" si="16"/>
        <v>#REF!</v>
      </c>
      <c r="V56" s="127"/>
      <c r="W56" s="191">
        <f t="shared" ca="1" si="17"/>
        <v>0</v>
      </c>
    </row>
    <row r="57" spans="1:32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 t="e">
        <f t="shared" ca="1" si="16"/>
        <v>#REF!</v>
      </c>
      <c r="V57" s="127"/>
      <c r="W57" s="191">
        <f t="shared" ca="1" si="17"/>
        <v>0</v>
      </c>
    </row>
    <row r="58" spans="1:32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 t="e">
        <f t="shared" ca="1" si="16"/>
        <v>#REF!</v>
      </c>
      <c r="V58" s="127"/>
      <c r="W58" s="191">
        <f t="shared" ca="1" si="17"/>
        <v>0</v>
      </c>
    </row>
    <row r="59" spans="1:32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#REF!</v>
      </c>
      <c r="V59" s="127"/>
      <c r="W59" s="191">
        <f t="shared" ca="1" si="17"/>
        <v>0</v>
      </c>
    </row>
    <row r="60" spans="1:32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#REF!</v>
      </c>
      <c r="V60" s="127"/>
      <c r="W60" s="191">
        <f t="shared" ca="1" si="17"/>
        <v>0</v>
      </c>
    </row>
    <row r="61" spans="1:32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#REF!</v>
      </c>
      <c r="V61" s="127"/>
      <c r="W61" s="191">
        <f t="shared" ca="1" si="17"/>
        <v>0</v>
      </c>
    </row>
    <row r="62" spans="1:32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#REF!</v>
      </c>
      <c r="V62" s="127"/>
      <c r="W62" s="191">
        <f t="shared" ca="1" si="17"/>
        <v>0</v>
      </c>
    </row>
    <row r="63" spans="1:32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#REF!</v>
      </c>
      <c r="V63" s="127"/>
      <c r="W63" s="191">
        <f t="shared" ca="1" si="17"/>
        <v>0</v>
      </c>
    </row>
    <row r="64" spans="1:32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#REF!</v>
      </c>
      <c r="V64" s="127"/>
      <c r="W64" s="191">
        <f t="shared" ca="1" si="17"/>
        <v>0</v>
      </c>
    </row>
    <row r="65" spans="1:36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#REF!</v>
      </c>
      <c r="V65" s="127"/>
      <c r="W65" s="191">
        <f t="shared" ca="1" si="17"/>
        <v>0</v>
      </c>
    </row>
    <row r="66" spans="1:36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#REF!</v>
      </c>
      <c r="V66" s="127"/>
      <c r="W66" s="191">
        <f t="shared" ca="1" si="17"/>
        <v>0</v>
      </c>
    </row>
    <row r="67" spans="1:36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#REF!</v>
      </c>
      <c r="V67" s="127"/>
      <c r="W67" s="191">
        <f t="shared" ca="1" si="17"/>
        <v>0</v>
      </c>
    </row>
    <row r="68" spans="1:36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#REF!</v>
      </c>
      <c r="V68" s="127"/>
      <c r="W68" s="191">
        <f t="shared" ca="1" si="17"/>
        <v>0</v>
      </c>
    </row>
    <row r="69" spans="1:36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#REF!</v>
      </c>
      <c r="V69" s="127"/>
      <c r="W69" s="191">
        <f t="shared" ca="1" si="17"/>
        <v>0</v>
      </c>
    </row>
    <row r="70" spans="1:36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#REF!</v>
      </c>
      <c r="V70" s="127"/>
      <c r="W70" s="191">
        <f t="shared" ca="1" si="17"/>
        <v>0</v>
      </c>
    </row>
    <row r="71" spans="1:36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6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</row>
    <row r="73" spans="1:36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</row>
    <row r="74" spans="1:36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</row>
    <row r="75" spans="1:36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</row>
    <row r="76" spans="1:36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</row>
    <row r="77" spans="1:36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</row>
    <row r="78" spans="1:36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</row>
    <row r="79" spans="1:36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</row>
    <row r="80" spans="1:36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</row>
    <row r="81" spans="1:36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</row>
    <row r="82" spans="1:36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</row>
    <row r="83" spans="1:36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</row>
    <row r="84" spans="1:36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</row>
    <row r="85" spans="1:36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</row>
    <row r="86" spans="1:36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</row>
    <row r="87" spans="1:36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</row>
    <row r="88" spans="1:36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</row>
    <row r="89" spans="1:36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</row>
    <row r="90" spans="1:36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</row>
    <row r="91" spans="1:36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</row>
    <row r="92" spans="1:36" s="17" customFormat="1" ht="22.5" customHeight="1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</row>
    <row r="93" spans="1:36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</row>
    <row r="94" spans="1:36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</row>
    <row r="95" spans="1:36" ht="6" customHeight="1" x14ac:dyDescent="0.2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189"/>
    </row>
    <row r="96" spans="1:36" x14ac:dyDescent="0.2">
      <c r="A96" s="114"/>
      <c r="B96" s="114"/>
      <c r="C96" s="115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90"/>
    </row>
    <row r="97" spans="1:36" x14ac:dyDescent="0.2">
      <c r="A97" s="114"/>
      <c r="B97" s="114"/>
      <c r="C97" s="115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90"/>
    </row>
    <row r="98" spans="1:36" x14ac:dyDescent="0.2">
      <c r="A98" s="114"/>
      <c r="B98" s="114"/>
      <c r="C98" s="115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90"/>
    </row>
    <row r="99" spans="1:36" x14ac:dyDescent="0.2">
      <c r="A99" s="114"/>
      <c r="B99" s="114"/>
      <c r="C99" s="115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90"/>
    </row>
    <row r="100" spans="1:36" s="90" customFormat="1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  <c r="V100" s="123"/>
      <c r="W100" s="123"/>
      <c r="X100" s="123"/>
      <c r="Y100" s="123"/>
      <c r="Z100" s="123"/>
      <c r="AA100" s="63">
        <v>2</v>
      </c>
      <c r="AB100" s="123"/>
      <c r="AC100" s="123"/>
      <c r="AD100"/>
      <c r="AE100" s="123"/>
      <c r="AF100" s="123"/>
      <c r="AG100" s="123"/>
      <c r="AH100" s="123"/>
      <c r="AI100" s="123"/>
      <c r="AJ100" s="123"/>
    </row>
    <row r="101" spans="1:36" s="90" customFormat="1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  <c r="V101" s="123"/>
      <c r="W101" s="123"/>
      <c r="X101" s="123"/>
      <c r="Y101" s="123"/>
      <c r="Z101" s="123"/>
      <c r="AA101" s="63">
        <v>143</v>
      </c>
      <c r="AB101" s="123"/>
      <c r="AC101" s="123"/>
      <c r="AD101"/>
      <c r="AE101" s="123"/>
      <c r="AF101" s="123"/>
      <c r="AG101" s="123"/>
      <c r="AH101" s="123"/>
      <c r="AI101" s="123"/>
      <c r="AJ101" s="123"/>
    </row>
    <row r="102" spans="1:36" s="90" customFormat="1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  <c r="V102" s="123"/>
      <c r="W102" s="123"/>
      <c r="X102" s="123"/>
      <c r="Y102" s="123"/>
      <c r="Z102" s="123"/>
      <c r="AA102" s="63">
        <v>85</v>
      </c>
      <c r="AB102" s="123"/>
      <c r="AC102" s="123"/>
      <c r="AD102"/>
      <c r="AE102" s="123"/>
      <c r="AF102" s="123"/>
      <c r="AG102" s="123"/>
      <c r="AH102" s="123"/>
      <c r="AI102" s="123"/>
      <c r="AJ102" s="123"/>
    </row>
    <row r="103" spans="1:36" s="90" customFormat="1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  <c r="V103" s="123"/>
      <c r="W103" s="123"/>
      <c r="X103" s="123"/>
      <c r="Y103" s="123"/>
      <c r="Z103" s="123"/>
      <c r="AA103" s="63">
        <v>18</v>
      </c>
      <c r="AB103" s="123"/>
      <c r="AC103" s="123"/>
      <c r="AD103"/>
      <c r="AE103" s="123"/>
      <c r="AF103" s="123"/>
      <c r="AG103" s="123"/>
      <c r="AH103" s="123"/>
      <c r="AI103" s="123"/>
      <c r="AJ103" s="123"/>
    </row>
    <row r="104" spans="1:36" s="90" customFormat="1" ht="6" customHeight="1" x14ac:dyDescent="0.2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189"/>
      <c r="V104" s="123"/>
      <c r="W104" s="123"/>
      <c r="X104" s="123"/>
      <c r="Y104" s="123"/>
      <c r="Z104" s="123"/>
      <c r="AA104" s="51"/>
      <c r="AB104" s="123"/>
      <c r="AC104" s="123"/>
      <c r="AD104"/>
      <c r="AE104" s="123"/>
      <c r="AF104" s="123"/>
      <c r="AG104" s="123"/>
      <c r="AH104" s="123"/>
      <c r="AI104" s="123"/>
      <c r="AJ104" s="123"/>
    </row>
    <row r="105" spans="1:36" s="90" customFormat="1" ht="11.45" customHeight="1" x14ac:dyDescent="0.2">
      <c r="A105" s="267" t="s">
        <v>44</v>
      </c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189"/>
      <c r="V105" s="123"/>
      <c r="W105" s="123"/>
      <c r="X105" s="123"/>
      <c r="Y105" s="123"/>
      <c r="Z105" s="123"/>
      <c r="AA105" s="10"/>
      <c r="AB105" s="123"/>
      <c r="AC105" s="123"/>
      <c r="AD105"/>
      <c r="AE105" s="123"/>
      <c r="AF105" s="123"/>
      <c r="AG105" s="123"/>
      <c r="AH105" s="123"/>
      <c r="AI105" s="123"/>
      <c r="AJ105" s="123"/>
    </row>
    <row r="106" spans="1:36" x14ac:dyDescent="0.2">
      <c r="AA106" s="63">
        <v>12</v>
      </c>
    </row>
    <row r="107" spans="1:36" x14ac:dyDescent="0.2">
      <c r="AA107" s="63">
        <v>2</v>
      </c>
    </row>
    <row r="108" spans="1:36" x14ac:dyDescent="0.2">
      <c r="AA108" s="63">
        <v>143</v>
      </c>
    </row>
    <row r="109" spans="1:36" x14ac:dyDescent="0.2">
      <c r="AA109" s="63">
        <v>6</v>
      </c>
    </row>
    <row r="110" spans="1:36" x14ac:dyDescent="0.2">
      <c r="AA110" s="10"/>
    </row>
    <row r="111" spans="1:36" x14ac:dyDescent="0.2">
      <c r="AA111" s="10"/>
    </row>
    <row r="112" spans="1:36" x14ac:dyDescent="0.2">
      <c r="AA112" s="63">
        <v>2</v>
      </c>
    </row>
    <row r="113" spans="27:27" x14ac:dyDescent="0.2">
      <c r="AA113" s="63">
        <v>143</v>
      </c>
    </row>
    <row r="114" spans="27:27" x14ac:dyDescent="0.2">
      <c r="AA114" s="63">
        <v>12</v>
      </c>
    </row>
    <row r="115" spans="27:27" x14ac:dyDescent="0.2">
      <c r="AA115" s="63">
        <v>134</v>
      </c>
    </row>
  </sheetData>
  <sortState ref="B12:S34">
    <sortCondition descending="1" ref="S12"/>
  </sortState>
  <mergeCells count="43">
    <mergeCell ref="R50:R51"/>
    <mergeCell ref="B51:E51"/>
    <mergeCell ref="A105:S105"/>
    <mergeCell ref="L50:L51"/>
    <mergeCell ref="M50:M51"/>
    <mergeCell ref="N50:N51"/>
    <mergeCell ref="O50:O51"/>
    <mergeCell ref="P50:P51"/>
    <mergeCell ref="Q50:Q51"/>
    <mergeCell ref="J50:J51"/>
    <mergeCell ref="K50:K51"/>
    <mergeCell ref="K10:K11"/>
    <mergeCell ref="L10:L11"/>
    <mergeCell ref="M10:M11"/>
    <mergeCell ref="A50:E50"/>
    <mergeCell ref="F50:F51"/>
    <mergeCell ref="G50:G51"/>
    <mergeCell ref="H50:H51"/>
    <mergeCell ref="I50:I51"/>
    <mergeCell ref="F8:H8"/>
    <mergeCell ref="I8:K8"/>
    <mergeCell ref="L8:O8"/>
    <mergeCell ref="P8:R8"/>
    <mergeCell ref="A10:E10"/>
    <mergeCell ref="F10:F11"/>
    <mergeCell ref="G10:G11"/>
    <mergeCell ref="H10:H11"/>
    <mergeCell ref="I10:I11"/>
    <mergeCell ref="J10:J11"/>
    <mergeCell ref="Q10:Q11"/>
    <mergeCell ref="R10:R11"/>
    <mergeCell ref="B11:E11"/>
    <mergeCell ref="N10:N11"/>
    <mergeCell ref="O10:O11"/>
    <mergeCell ref="P10:P11"/>
    <mergeCell ref="A1:S1"/>
    <mergeCell ref="A2:S2"/>
    <mergeCell ref="D3:L3"/>
    <mergeCell ref="A5:S5"/>
    <mergeCell ref="F7:H7"/>
    <mergeCell ref="I7:K7"/>
    <mergeCell ref="L7:O7"/>
    <mergeCell ref="P7:R7"/>
  </mergeCells>
  <conditionalFormatting sqref="W12:W47 AA12:AA26">
    <cfRule type="cellIs" dxfId="3" priority="2" operator="equal">
      <formula>0</formula>
    </cfRule>
  </conditionalFormatting>
  <conditionalFormatting sqref="W52:W70">
    <cfRule type="cellIs" dxfId="2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E45"/>
  <sheetViews>
    <sheetView zoomScale="70" zoomScaleNormal="70" workbookViewId="0">
      <selection activeCell="AG23" sqref="AG23"/>
    </sheetView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256" t="str">
        <f>CTRL!B7</f>
        <v>R E G I O N E M   O R L I C K A   L A N Š K R O U N   2 0 1 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2:31" ht="15.75" x14ac:dyDescent="0.2">
      <c r="B2" s="250" t="str">
        <f>CTRL!B8</f>
        <v>28. ročník mezinárodního cyklistického závodu juniorů / 28th edition of international cycling race of juniors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1" ht="18.75" x14ac:dyDescent="0.3">
      <c r="C3" s="20"/>
      <c r="D3" s="251" t="str">
        <f>CTRL!B22</f>
        <v xml:space="preserve">po 1. etapě / after 1st Stage  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/>
      <c r="AE3" s="2" t="str">
        <f>"Com.no.: 10/" &amp; CTRL!B27</f>
        <v>Com.no.: 10/31</v>
      </c>
    </row>
    <row r="4" spans="2:31" x14ac:dyDescent="0.2">
      <c r="B4" s="13" t="str">
        <f>"Datum / Date: "&amp;TEXT(CTRL!B10,"dd.mm.rrrr")</f>
        <v>Datum / Date: 08.08.2014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254" t="s">
        <v>130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2:31" ht="9" customHeight="1" x14ac:dyDescent="0.2">
      <c r="C6" s="20"/>
      <c r="D6" s="1"/>
      <c r="AD6"/>
      <c r="AE6"/>
    </row>
    <row r="7" spans="2:31" x14ac:dyDescent="0.2">
      <c r="B7" s="195" t="s">
        <v>0</v>
      </c>
      <c r="C7" s="195" t="s">
        <v>12</v>
      </c>
      <c r="D7" s="195" t="s">
        <v>4</v>
      </c>
      <c r="E7" s="174"/>
      <c r="F7" s="298" t="s">
        <v>132</v>
      </c>
      <c r="G7" s="298"/>
      <c r="H7" s="298"/>
      <c r="I7" s="298"/>
      <c r="J7" s="195" t="s">
        <v>22</v>
      </c>
      <c r="K7" s="174"/>
      <c r="L7" s="298" t="s">
        <v>23</v>
      </c>
      <c r="M7" s="298"/>
      <c r="N7" s="298"/>
      <c r="O7" s="298"/>
      <c r="P7" s="195" t="s">
        <v>23</v>
      </c>
      <c r="Q7" s="174"/>
      <c r="R7" s="298" t="s">
        <v>24</v>
      </c>
      <c r="S7" s="298"/>
      <c r="T7" s="298"/>
      <c r="U7" s="298"/>
      <c r="V7" s="195" t="s">
        <v>24</v>
      </c>
      <c r="W7" s="174"/>
      <c r="X7" s="298" t="s">
        <v>25</v>
      </c>
      <c r="Y7" s="298"/>
      <c r="Z7" s="298"/>
      <c r="AA7" s="298"/>
      <c r="AB7" s="195" t="s">
        <v>25</v>
      </c>
      <c r="AC7" s="174"/>
      <c r="AD7" s="195" t="s">
        <v>26</v>
      </c>
      <c r="AE7" s="195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297" t="s">
        <v>129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225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/>
      <c r="M12" s="171"/>
      <c r="N12" s="172"/>
      <c r="O12" s="177"/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 t="shared" ref="AD12:AD29" si="1">H12+N12+T12+Z12</f>
        <v>0.23450231481481482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42</v>
      </c>
      <c r="D13" s="225" t="str">
        <f t="shared" si="0"/>
        <v xml:space="preserve">TJ FAVORIT BRNO </v>
      </c>
      <c r="E13" s="170"/>
      <c r="F13" s="171">
        <v>2</v>
      </c>
      <c r="G13" s="171">
        <v>91</v>
      </c>
      <c r="H13" s="172">
        <v>0.23464120370370373</v>
      </c>
      <c r="I13" s="177" t="s">
        <v>580</v>
      </c>
      <c r="J13" s="173"/>
      <c r="K13" s="169"/>
      <c r="L13" s="171"/>
      <c r="M13" s="171"/>
      <c r="N13" s="172"/>
      <c r="O13" s="177"/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 t="shared" si="1"/>
        <v>0.23464120370370373</v>
      </c>
      <c r="AE13" s="172">
        <f t="shared" si="2"/>
        <v>1.388888888889106E-4</v>
      </c>
    </row>
    <row r="14" spans="2:31" ht="29.25" customHeight="1" x14ac:dyDescent="0.2">
      <c r="B14" s="53">
        <v>3</v>
      </c>
      <c r="C14" s="57" t="s">
        <v>310</v>
      </c>
      <c r="D14" s="225" t="str">
        <f t="shared" si="0"/>
        <v xml:space="preserve">MAPEI CYKLO KAŇKOVSKÝ </v>
      </c>
      <c r="E14" s="170"/>
      <c r="F14" s="171">
        <v>3</v>
      </c>
      <c r="G14" s="171">
        <v>154</v>
      </c>
      <c r="H14" s="172">
        <v>0.23464120370370373</v>
      </c>
      <c r="I14" s="177" t="s">
        <v>576</v>
      </c>
      <c r="J14" s="173"/>
      <c r="K14" s="169"/>
      <c r="L14" s="171"/>
      <c r="M14" s="171"/>
      <c r="N14" s="172"/>
      <c r="O14" s="177"/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0.23464120370370373</v>
      </c>
      <c r="AE14" s="172">
        <f t="shared" si="2"/>
        <v>1.388888888889106E-4</v>
      </c>
    </row>
    <row r="15" spans="2:31" ht="29.25" customHeight="1" x14ac:dyDescent="0.2">
      <c r="B15" s="53">
        <v>4</v>
      </c>
      <c r="C15" s="57" t="s">
        <v>478</v>
      </c>
      <c r="D15" s="225" t="str">
        <f t="shared" si="0"/>
        <v>RSC TURBINE ERFURT, RSV SONNEBERG, RV ELXLEBEN, 1.RSV 1886 GREIZ</v>
      </c>
      <c r="E15" s="170"/>
      <c r="F15" s="171">
        <v>4</v>
      </c>
      <c r="G15" s="171">
        <v>171</v>
      </c>
      <c r="H15" s="172">
        <v>0.23464120370370373</v>
      </c>
      <c r="I15" s="177" t="s">
        <v>577</v>
      </c>
      <c r="J15" s="173"/>
      <c r="K15" s="169"/>
      <c r="L15" s="171"/>
      <c r="M15" s="171"/>
      <c r="N15" s="172"/>
      <c r="O15" s="177"/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145</v>
      </c>
      <c r="AC15" s="176"/>
      <c r="AD15" s="198">
        <f t="shared" si="1"/>
        <v>0.23464120370370373</v>
      </c>
      <c r="AE15" s="172">
        <f t="shared" si="2"/>
        <v>1.388888888889106E-4</v>
      </c>
    </row>
    <row r="16" spans="2:31" ht="29.25" customHeight="1" x14ac:dyDescent="0.2">
      <c r="B16" s="53">
        <v>5</v>
      </c>
      <c r="C16" s="57" t="s">
        <v>274</v>
      </c>
      <c r="D16" s="225" t="str">
        <f t="shared" si="0"/>
        <v xml:space="preserve">TJ STADION LOUNY , SKP DUHA FORT LANŠKROUN, NUTREND SPECIALIZED RACING , PROFI SPORT CHEB , TJ ZČE CYKLISTIKA PLZEŇ </v>
      </c>
      <c r="E16" s="170"/>
      <c r="F16" s="171">
        <v>5</v>
      </c>
      <c r="G16" s="171">
        <v>30</v>
      </c>
      <c r="H16" s="172">
        <v>0.23486111111111113</v>
      </c>
      <c r="I16" s="177" t="s">
        <v>566</v>
      </c>
      <c r="J16" s="173"/>
      <c r="K16" s="169"/>
      <c r="L16" s="171"/>
      <c r="M16" s="171"/>
      <c r="N16" s="172"/>
      <c r="O16" s="177"/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55</v>
      </c>
      <c r="AC16" s="176"/>
      <c r="AD16" s="198">
        <f t="shared" si="1"/>
        <v>0.23486111111111113</v>
      </c>
      <c r="AE16" s="172">
        <f t="shared" si="2"/>
        <v>3.5879629629631538E-4</v>
      </c>
    </row>
    <row r="17" spans="2:31" ht="29.25" customHeight="1" x14ac:dyDescent="0.2">
      <c r="B17" s="53">
        <v>6</v>
      </c>
      <c r="C17" s="57" t="s">
        <v>381</v>
      </c>
      <c r="D17" s="225" t="str">
        <f t="shared" si="0"/>
        <v>RG BERLIN</v>
      </c>
      <c r="E17" s="170"/>
      <c r="F17" s="171">
        <v>6</v>
      </c>
      <c r="G17" s="171">
        <v>56</v>
      </c>
      <c r="H17" s="172">
        <v>0.23486111111111113</v>
      </c>
      <c r="I17" s="177" t="s">
        <v>568</v>
      </c>
      <c r="J17" s="173"/>
      <c r="K17" s="169"/>
      <c r="L17" s="171"/>
      <c r="M17" s="171"/>
      <c r="N17" s="172"/>
      <c r="O17" s="177"/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 t="shared" si="1"/>
        <v>0.23486111111111113</v>
      </c>
      <c r="AE17" s="172">
        <f t="shared" si="2"/>
        <v>3.5879629629631538E-4</v>
      </c>
    </row>
    <row r="18" spans="2:31" ht="29.25" customHeight="1" x14ac:dyDescent="0.2">
      <c r="B18" s="53">
        <v>7</v>
      </c>
      <c r="C18" s="57" t="s">
        <v>43</v>
      </c>
      <c r="D18" s="225" t="str">
        <f t="shared" si="0"/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570</v>
      </c>
      <c r="J18" s="173"/>
      <c r="K18" s="169"/>
      <c r="L18" s="171"/>
      <c r="M18" s="171"/>
      <c r="N18" s="172"/>
      <c r="O18" s="177"/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 t="shared" si="1"/>
        <v>0.23486111111111113</v>
      </c>
      <c r="AE18" s="172">
        <f t="shared" si="2"/>
        <v>3.5879629629631538E-4</v>
      </c>
    </row>
    <row r="19" spans="2:31" ht="29.25" customHeight="1" x14ac:dyDescent="0.2">
      <c r="B19" s="53">
        <v>8</v>
      </c>
      <c r="C19" s="57" t="s">
        <v>405</v>
      </c>
      <c r="D19" s="225" t="str">
        <f t="shared" si="0"/>
        <v>JUNIOREN SCHWALBE TEAM SACHSEN</v>
      </c>
      <c r="E19" s="170"/>
      <c r="F19" s="171">
        <v>8</v>
      </c>
      <c r="G19" s="171">
        <v>65</v>
      </c>
      <c r="H19" s="172">
        <v>0.23486111111111113</v>
      </c>
      <c r="I19" s="177" t="s">
        <v>567</v>
      </c>
      <c r="J19" s="173"/>
      <c r="K19" s="169"/>
      <c r="L19" s="171"/>
      <c r="M19" s="171"/>
      <c r="N19" s="172"/>
      <c r="O19" s="177"/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31</v>
      </c>
      <c r="AC19" s="176"/>
      <c r="AD19" s="198">
        <f t="shared" si="1"/>
        <v>0.23486111111111113</v>
      </c>
      <c r="AE19" s="172">
        <f t="shared" si="2"/>
        <v>3.5879629629631538E-4</v>
      </c>
    </row>
    <row r="20" spans="2:31" ht="29.25" customHeight="1" x14ac:dyDescent="0.2">
      <c r="B20" s="53">
        <v>9</v>
      </c>
      <c r="C20" s="57" t="s">
        <v>236</v>
      </c>
      <c r="D20" s="225" t="str">
        <f t="shared" si="0"/>
        <v xml:space="preserve">DSR AUTHOR GÓRNIK WAŁBRZYCH </v>
      </c>
      <c r="E20" s="170"/>
      <c r="F20" s="171">
        <v>9</v>
      </c>
      <c r="G20" s="171">
        <v>71</v>
      </c>
      <c r="H20" s="172">
        <v>0.23486111111111113</v>
      </c>
      <c r="I20" s="177" t="s">
        <v>579</v>
      </c>
      <c r="J20" s="173"/>
      <c r="K20" s="169"/>
      <c r="L20" s="171"/>
      <c r="M20" s="171"/>
      <c r="N20" s="172"/>
      <c r="O20" s="177"/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89</v>
      </c>
      <c r="AC20" s="176"/>
      <c r="AD20" s="198">
        <f t="shared" si="1"/>
        <v>0.23486111111111113</v>
      </c>
      <c r="AE20" s="172">
        <f t="shared" si="2"/>
        <v>3.5879629629631538E-4</v>
      </c>
    </row>
    <row r="21" spans="2:31" ht="29.25" customHeight="1" x14ac:dyDescent="0.2">
      <c r="B21" s="53">
        <v>10</v>
      </c>
      <c r="C21" s="57" t="s">
        <v>346</v>
      </c>
      <c r="D21" s="225" t="str">
        <f t="shared" si="0"/>
        <v xml:space="preserve">TJ KOVO PRAHA, VZW TIELTSE RENNERSCLUB - JG, SP KOLO LOAP SPECIALIZED </v>
      </c>
      <c r="E21" s="170"/>
      <c r="F21" s="171">
        <v>10</v>
      </c>
      <c r="G21" s="171">
        <v>92</v>
      </c>
      <c r="H21" s="172">
        <v>0.23486111111111113</v>
      </c>
      <c r="I21" s="177" t="s">
        <v>571</v>
      </c>
      <c r="J21" s="173"/>
      <c r="K21" s="169"/>
      <c r="L21" s="171"/>
      <c r="M21" s="171"/>
      <c r="N21" s="172"/>
      <c r="O21" s="177"/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 t="shared" si="1"/>
        <v>0.23486111111111113</v>
      </c>
      <c r="AE21" s="172">
        <f t="shared" si="2"/>
        <v>3.5879629629631538E-4</v>
      </c>
    </row>
    <row r="22" spans="2:31" ht="29.25" customHeight="1" x14ac:dyDescent="0.2">
      <c r="B22" s="53">
        <v>11</v>
      </c>
      <c r="C22" s="57" t="s">
        <v>211</v>
      </c>
      <c r="D22" s="226" t="str">
        <f t="shared" si="0"/>
        <v xml:space="preserve">GRUPA KOLARSKA GLIWICE BA, ACK STARÁ VES NAD ONDŘEJNICÍ , KLUCZBORK, CK FESO PETŘVALD, TJ SIGMA HRANICE , SK JIŘÍ TEAM OSTRAVA </v>
      </c>
      <c r="E22" s="170"/>
      <c r="F22" s="171">
        <v>11</v>
      </c>
      <c r="G22" s="171">
        <v>109</v>
      </c>
      <c r="H22" s="172">
        <v>0.23486111111111113</v>
      </c>
      <c r="I22" s="177" t="s">
        <v>575</v>
      </c>
      <c r="J22" s="173"/>
      <c r="K22" s="169"/>
      <c r="L22" s="171"/>
      <c r="M22" s="171"/>
      <c r="N22" s="172"/>
      <c r="O22" s="177"/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0.23486111111111113</v>
      </c>
      <c r="AE22" s="172">
        <f t="shared" si="2"/>
        <v>3.5879629629631538E-4</v>
      </c>
    </row>
    <row r="23" spans="2:31" ht="29.25" customHeight="1" x14ac:dyDescent="0.2">
      <c r="B23" s="53">
        <v>12</v>
      </c>
      <c r="C23" s="57" t="s">
        <v>294</v>
      </c>
      <c r="D23" s="225" t="str">
        <f t="shared" si="0"/>
        <v xml:space="preserve">LRV STEIERMARK </v>
      </c>
      <c r="E23" s="170"/>
      <c r="F23" s="171">
        <v>12</v>
      </c>
      <c r="G23" s="171">
        <v>110</v>
      </c>
      <c r="H23" s="172">
        <v>0.23486111111111113</v>
      </c>
      <c r="I23" s="177" t="s">
        <v>565</v>
      </c>
      <c r="J23" s="173"/>
      <c r="K23" s="169"/>
      <c r="L23" s="171"/>
      <c r="M23" s="171"/>
      <c r="N23" s="172"/>
      <c r="O23" s="177"/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 t="shared" si="1"/>
        <v>0.23486111111111113</v>
      </c>
      <c r="AE23" s="172">
        <f t="shared" si="2"/>
        <v>3.5879629629631538E-4</v>
      </c>
    </row>
    <row r="24" spans="2:31" ht="29.25" customHeight="1" x14ac:dyDescent="0.2">
      <c r="B24" s="53">
        <v>13</v>
      </c>
      <c r="C24" s="57" t="s">
        <v>250</v>
      </c>
      <c r="D24" s="225" t="str">
        <f t="shared" si="0"/>
        <v>KC KOOPERATIVA SG JABLONEC N.N, KOLA-BBM.CZ</v>
      </c>
      <c r="E24" s="170"/>
      <c r="F24" s="171">
        <v>13</v>
      </c>
      <c r="G24" s="171">
        <v>114</v>
      </c>
      <c r="H24" s="172">
        <v>0.23486111111111113</v>
      </c>
      <c r="I24" s="177" t="s">
        <v>563</v>
      </c>
      <c r="J24" s="173"/>
      <c r="K24" s="169"/>
      <c r="L24" s="171"/>
      <c r="M24" s="171"/>
      <c r="N24" s="172"/>
      <c r="O24" s="177"/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 t="shared" si="1"/>
        <v>0.23486111111111113</v>
      </c>
      <c r="AE24" s="172">
        <f t="shared" si="2"/>
        <v>3.5879629629631538E-4</v>
      </c>
    </row>
    <row r="25" spans="2:31" ht="29.25" customHeight="1" x14ac:dyDescent="0.2">
      <c r="B25" s="53">
        <v>14</v>
      </c>
      <c r="C25" s="57" t="s">
        <v>99</v>
      </c>
      <c r="D25" s="225" t="str">
        <f t="shared" si="0"/>
        <v>RUSSIAN CYCLING FEDERATION</v>
      </c>
      <c r="E25" s="170"/>
      <c r="F25" s="171">
        <v>14</v>
      </c>
      <c r="G25" s="171">
        <v>135</v>
      </c>
      <c r="H25" s="172">
        <v>0.23486111111111113</v>
      </c>
      <c r="I25" s="177" t="s">
        <v>569</v>
      </c>
      <c r="J25" s="173"/>
      <c r="K25" s="169"/>
      <c r="L25" s="171"/>
      <c r="M25" s="171"/>
      <c r="N25" s="172"/>
      <c r="O25" s="177"/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 t="shared" si="1"/>
        <v>0.23486111111111113</v>
      </c>
      <c r="AE25" s="172">
        <f t="shared" si="2"/>
        <v>3.5879629629631538E-4</v>
      </c>
    </row>
    <row r="26" spans="2:31" ht="29.25" customHeight="1" x14ac:dyDescent="0.2">
      <c r="B26" s="53">
        <v>15</v>
      </c>
      <c r="C26" s="57" t="s">
        <v>332</v>
      </c>
      <c r="D26" s="225" t="str">
        <f t="shared" si="0"/>
        <v>REMERX - MERIDA TEAM KOLÍN, REMERX MERIDA TEAM JUNIOR, ALLTRAINING.CZ</v>
      </c>
      <c r="E26" s="170"/>
      <c r="F26" s="171">
        <v>15</v>
      </c>
      <c r="G26" s="171">
        <v>140</v>
      </c>
      <c r="H26" s="172">
        <v>0.23486111111111113</v>
      </c>
      <c r="I26" s="177" t="s">
        <v>573</v>
      </c>
      <c r="J26" s="173"/>
      <c r="K26" s="169"/>
      <c r="L26" s="171"/>
      <c r="M26" s="171"/>
      <c r="N26" s="172"/>
      <c r="O26" s="177"/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0.23486111111111113</v>
      </c>
      <c r="AE26" s="172">
        <f t="shared" si="2"/>
        <v>3.5879629629631538E-4</v>
      </c>
    </row>
    <row r="27" spans="2:31" ht="29.25" customHeight="1" x14ac:dyDescent="0.2">
      <c r="B27" s="53">
        <v>16</v>
      </c>
      <c r="C27" s="57" t="s">
        <v>360</v>
      </c>
      <c r="D27" s="225" t="str">
        <f t="shared" si="0"/>
        <v xml:space="preserve">RC ARBÖ WELS GOURMETFEIN, RLM WIEN, UNION RAIFFEISEN RADTEAM TIROL, RC WALDING, H.M. SPORT ČESKÝ KRUMLOV </v>
      </c>
      <c r="E27" s="170"/>
      <c r="F27" s="171">
        <v>16</v>
      </c>
      <c r="G27" s="171">
        <v>190</v>
      </c>
      <c r="H27" s="172">
        <v>0.23486111111111113</v>
      </c>
      <c r="I27" s="177" t="s">
        <v>574</v>
      </c>
      <c r="J27" s="173"/>
      <c r="K27" s="169"/>
      <c r="L27" s="171"/>
      <c r="M27" s="171"/>
      <c r="N27" s="172"/>
      <c r="O27" s="177"/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0.23486111111111113</v>
      </c>
      <c r="AE27" s="172">
        <f t="shared" si="2"/>
        <v>3.5879629629631538E-4</v>
      </c>
    </row>
    <row r="28" spans="2:31" ht="29.25" customHeight="1" x14ac:dyDescent="0.2">
      <c r="B28" s="53">
        <v>17</v>
      </c>
      <c r="C28" s="57" t="s">
        <v>100</v>
      </c>
      <c r="D28" s="225" t="str">
        <f t="shared" si="0"/>
        <v>SKC TUFO PROSTĚJOV, STEVENS ZNOJMO, KC HLINSKO, CK DACOM PHARMA KYJOV</v>
      </c>
      <c r="E28" s="170"/>
      <c r="F28" s="171">
        <v>17</v>
      </c>
      <c r="G28" s="171">
        <v>286</v>
      </c>
      <c r="H28" s="172">
        <v>0.23486111111111113</v>
      </c>
      <c r="I28" s="177" t="s">
        <v>578</v>
      </c>
      <c r="J28" s="173"/>
      <c r="K28" s="169"/>
      <c r="L28" s="171"/>
      <c r="M28" s="171"/>
      <c r="N28" s="172"/>
      <c r="O28" s="177"/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0.23486111111111113</v>
      </c>
      <c r="AE28" s="172">
        <f t="shared" si="2"/>
        <v>3.5879629629631538E-4</v>
      </c>
    </row>
    <row r="29" spans="2:31" ht="29.25" customHeight="1" x14ac:dyDescent="0.2">
      <c r="B29" s="53">
        <v>18</v>
      </c>
      <c r="C29" s="57" t="s">
        <v>452</v>
      </c>
      <c r="D29" s="225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/>
      <c r="M29" s="171"/>
      <c r="N29" s="172"/>
      <c r="O29" s="177"/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0.23489583333333336</v>
      </c>
      <c r="AE29" s="172">
        <f t="shared" si="2"/>
        <v>3.9351851851854303E-4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194"/>
      <c r="C33" s="194"/>
      <c r="D33" s="194"/>
      <c r="E33" s="194"/>
      <c r="F33" s="194"/>
      <c r="G33" s="212"/>
      <c r="H33" s="194"/>
      <c r="I33" s="194"/>
      <c r="J33" s="194"/>
      <c r="K33" s="194"/>
      <c r="L33" s="194"/>
      <c r="M33" s="212"/>
      <c r="N33" s="194"/>
      <c r="O33" s="194"/>
      <c r="P33" s="194"/>
      <c r="Q33" s="194"/>
      <c r="R33" s="194"/>
      <c r="S33" s="212"/>
      <c r="T33" s="194"/>
      <c r="U33" s="194"/>
      <c r="V33" s="194"/>
      <c r="W33" s="194"/>
      <c r="X33" s="194"/>
      <c r="Y33" s="212"/>
      <c r="Z33" s="194"/>
      <c r="AA33" s="194"/>
      <c r="AB33" s="194"/>
      <c r="AC33" s="194"/>
      <c r="AD33" s="194"/>
      <c r="AE33" s="194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194"/>
      <c r="C41" s="194"/>
      <c r="D41" s="194"/>
      <c r="E41" s="194"/>
      <c r="F41" s="194"/>
      <c r="G41" s="212"/>
      <c r="H41" s="194"/>
      <c r="I41" s="194"/>
      <c r="J41" s="194"/>
      <c r="K41" s="194"/>
      <c r="L41" s="194"/>
      <c r="M41" s="212"/>
      <c r="N41" s="194"/>
      <c r="O41" s="194"/>
      <c r="P41" s="194"/>
      <c r="Q41" s="194"/>
      <c r="R41" s="194"/>
      <c r="S41" s="212"/>
      <c r="T41" s="194"/>
      <c r="U41" s="194"/>
      <c r="V41" s="194"/>
      <c r="W41" s="194"/>
      <c r="X41" s="194"/>
      <c r="Y41" s="212"/>
      <c r="Z41" s="194"/>
      <c r="AA41" s="194"/>
      <c r="AB41" s="194"/>
      <c r="AC41" s="194"/>
      <c r="AD41" s="194"/>
      <c r="AE41" s="194"/>
    </row>
    <row r="42" spans="2:31" ht="11.45" customHeight="1" x14ac:dyDescent="0.2">
      <c r="B42" s="255" t="s">
        <v>44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I29">
    <sortCondition ref="H12:H29"/>
    <sortCondition ref="G12:G29"/>
  </sortState>
  <mergeCells count="10">
    <mergeCell ref="B10:AE10"/>
    <mergeCell ref="B42:AE42"/>
    <mergeCell ref="B1:AE1"/>
    <mergeCell ref="B2:AE2"/>
    <mergeCell ref="B5:AE5"/>
    <mergeCell ref="F7:I7"/>
    <mergeCell ref="L7:O7"/>
    <mergeCell ref="R7:U7"/>
    <mergeCell ref="X7:AA7"/>
    <mergeCell ref="D3:AC3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3"/>
  <sheetViews>
    <sheetView zoomScaleNormal="100" workbookViewId="0">
      <selection sqref="A1:T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2" style="93" customWidth="1"/>
    <col min="4" max="4" width="21.5703125" style="90" customWidth="1"/>
    <col min="5" max="5" width="37.140625" style="90" customWidth="1"/>
    <col min="6" max="19" width="3.85546875" style="90" customWidth="1"/>
    <col min="20" max="20" width="5.5703125" style="90" customWidth="1"/>
    <col min="21" max="21" width="6.7109375" style="113" customWidth="1"/>
    <col min="22" max="22" width="3.85546875" style="90" customWidth="1" outlineLevel="1"/>
    <col min="23" max="23" width="4.7109375" style="123" customWidth="1" outlineLevel="1"/>
    <col min="24" max="27" width="3.7109375" style="123" customWidth="1" outlineLevel="1"/>
    <col min="28" max="28" width="4.7109375" style="123" customWidth="1" outlineLevel="1"/>
    <col min="29" max="30" width="3.7109375" style="123" customWidth="1" outlineLevel="1"/>
    <col min="31" max="31" width="8.85546875" customWidth="1" outlineLevel="1"/>
    <col min="32" max="35" width="3.7109375" style="303" customWidth="1" outlineLevel="1"/>
    <col min="36" max="36" width="3.7109375" style="303" customWidth="1"/>
    <col min="37" max="37" width="8.85546875" style="303"/>
    <col min="38" max="38" width="20.7109375" bestFit="1" customWidth="1"/>
  </cols>
  <sheetData>
    <row r="1" spans="1:37" ht="33.75" customHeight="1" x14ac:dyDescent="0.2">
      <c r="A1" s="286" t="str">
        <f>CTRL!B7</f>
        <v>R E G I O N E M   O R L I C K A   L A N Š K R O U N   2 0 1 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178"/>
      <c r="V1" s="196" t="s">
        <v>624</v>
      </c>
    </row>
    <row r="2" spans="1:37" ht="15.75" x14ac:dyDescent="0.2">
      <c r="A2" s="287" t="str">
        <f>CTRL!B8</f>
        <v>28. ročník mezinárodního cyklistického závodu juniorů / 28th edition of international cycling race of juniors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179"/>
    </row>
    <row r="3" spans="1:37" ht="18.75" x14ac:dyDescent="0.3">
      <c r="D3" s="288" t="str">
        <f>CTRL!B24</f>
        <v>po 3. etapě / after 3rd Stage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T3" s="94" t="str">
        <f>"Com.no.: 21/" &amp; CTRL!B27</f>
        <v>Com.no.: 21/31</v>
      </c>
      <c r="U3" s="180"/>
      <c r="X3" s="196" t="s">
        <v>624</v>
      </c>
    </row>
    <row r="4" spans="1:37" x14ac:dyDescent="0.2">
      <c r="A4" s="13" t="str">
        <f>"Datum / Date: "&amp;TEXT(CTRL!B11,"dd.mm.rrrr")</f>
        <v>Datum / Date: 09.08.2014</v>
      </c>
      <c r="T4" s="95" t="str">
        <f>"Místo konání / Place: "&amp;CTRL!B16&amp;""</f>
        <v>Místo konání / Place: Lanškroun (CZE)</v>
      </c>
      <c r="U4" s="181"/>
    </row>
    <row r="5" spans="1:37" ht="21" x14ac:dyDescent="0.2">
      <c r="A5" s="289" t="s">
        <v>130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182"/>
      <c r="AB5" s="196" t="s">
        <v>623</v>
      </c>
    </row>
    <row r="6" spans="1:37" ht="10.5" customHeight="1" x14ac:dyDescent="0.2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182"/>
    </row>
    <row r="7" spans="1:37" x14ac:dyDescent="0.2">
      <c r="A7" s="244" t="s">
        <v>0</v>
      </c>
      <c r="B7" s="244" t="s">
        <v>1</v>
      </c>
      <c r="C7" s="244" t="s">
        <v>2</v>
      </c>
      <c r="D7" s="244" t="s">
        <v>3</v>
      </c>
      <c r="E7" s="244" t="s">
        <v>4</v>
      </c>
      <c r="F7" s="290" t="s">
        <v>71</v>
      </c>
      <c r="G7" s="290"/>
      <c r="H7" s="290"/>
      <c r="I7" s="290" t="s">
        <v>18</v>
      </c>
      <c r="J7" s="290"/>
      <c r="K7" s="290"/>
      <c r="L7" s="290" t="s">
        <v>73</v>
      </c>
      <c r="M7" s="290"/>
      <c r="N7" s="290"/>
      <c r="O7" s="290"/>
      <c r="P7" s="290" t="s">
        <v>74</v>
      </c>
      <c r="Q7" s="290"/>
      <c r="R7" s="290"/>
      <c r="S7" s="290"/>
      <c r="T7" s="244" t="s">
        <v>20</v>
      </c>
      <c r="U7" s="183"/>
    </row>
    <row r="8" spans="1:37" x14ac:dyDescent="0.2">
      <c r="A8" s="246" t="s">
        <v>6</v>
      </c>
      <c r="B8" s="246" t="s">
        <v>7</v>
      </c>
      <c r="C8" s="246" t="s">
        <v>8</v>
      </c>
      <c r="D8" s="246" t="s">
        <v>9</v>
      </c>
      <c r="E8" s="246" t="s">
        <v>14</v>
      </c>
      <c r="F8" s="281" t="s">
        <v>72</v>
      </c>
      <c r="G8" s="281"/>
      <c r="H8" s="281"/>
      <c r="I8" s="281" t="s">
        <v>75</v>
      </c>
      <c r="J8" s="281"/>
      <c r="K8" s="281"/>
      <c r="L8" s="281" t="s">
        <v>76</v>
      </c>
      <c r="M8" s="281"/>
      <c r="N8" s="281"/>
      <c r="O8" s="281"/>
      <c r="P8" s="281" t="s">
        <v>77</v>
      </c>
      <c r="Q8" s="281"/>
      <c r="R8" s="281"/>
      <c r="S8" s="281"/>
      <c r="T8" s="246" t="s">
        <v>21</v>
      </c>
      <c r="U8" s="184"/>
      <c r="W8" s="124"/>
    </row>
    <row r="9" spans="1:37" ht="9.75" customHeight="1" thickBot="1" x14ac:dyDescent="0.25"/>
    <row r="10" spans="1:37" ht="44.1" customHeight="1" x14ac:dyDescent="0.2">
      <c r="A10" s="278" t="s">
        <v>70</v>
      </c>
      <c r="B10" s="278"/>
      <c r="C10" s="278"/>
      <c r="D10" s="278"/>
      <c r="E10" s="278"/>
      <c r="F10" s="268" t="s">
        <v>622</v>
      </c>
      <c r="G10" s="268" t="s">
        <v>621</v>
      </c>
      <c r="H10" s="270" t="s">
        <v>33</v>
      </c>
      <c r="I10" s="291"/>
      <c r="J10" s="293"/>
      <c r="K10" s="270" t="s">
        <v>96</v>
      </c>
      <c r="L10" s="291"/>
      <c r="M10" s="293"/>
      <c r="N10" s="293"/>
      <c r="O10" s="270" t="s">
        <v>97</v>
      </c>
      <c r="P10" s="272" t="s">
        <v>618</v>
      </c>
      <c r="Q10" s="268" t="s">
        <v>619</v>
      </c>
      <c r="R10" s="268" t="s">
        <v>620</v>
      </c>
      <c r="S10" s="270" t="s">
        <v>98</v>
      </c>
      <c r="T10" s="245"/>
      <c r="U10" s="185"/>
      <c r="V10" s="125" t="s">
        <v>118</v>
      </c>
      <c r="W10" s="125" t="s">
        <v>111</v>
      </c>
      <c r="X10" s="125" t="s">
        <v>110</v>
      </c>
      <c r="Z10" s="125" t="s">
        <v>112</v>
      </c>
      <c r="AA10" s="125" t="s">
        <v>111</v>
      </c>
      <c r="AB10" s="125" t="s">
        <v>113</v>
      </c>
    </row>
    <row r="11" spans="1:37" ht="18.95" customHeight="1" x14ac:dyDescent="0.2">
      <c r="A11" s="96"/>
      <c r="B11" s="276"/>
      <c r="C11" s="277"/>
      <c r="D11" s="277"/>
      <c r="E11" s="277"/>
      <c r="F11" s="269"/>
      <c r="G11" s="269"/>
      <c r="H11" s="271"/>
      <c r="I11" s="292"/>
      <c r="J11" s="294"/>
      <c r="K11" s="271"/>
      <c r="L11" s="292"/>
      <c r="M11" s="294"/>
      <c r="N11" s="294"/>
      <c r="O11" s="271"/>
      <c r="P11" s="273"/>
      <c r="Q11" s="269"/>
      <c r="R11" s="269"/>
      <c r="S11" s="271"/>
      <c r="T11" s="97"/>
      <c r="U11" s="186"/>
      <c r="V11" s="123"/>
      <c r="AB11" s="126"/>
    </row>
    <row r="12" spans="1:37" ht="14.1" customHeight="1" x14ac:dyDescent="0.2">
      <c r="A12" s="98">
        <v>1</v>
      </c>
      <c r="B12" s="99">
        <v>116</v>
      </c>
      <c r="C12" s="99" t="str">
        <f>VLOOKUP($B12,STARTOVKA,2,0)</f>
        <v>GER19960909</v>
      </c>
      <c r="D12" s="100" t="str">
        <f>VLOOKUP($B12,STARTOVKA,3,0)</f>
        <v>KÄMNA Lennard</v>
      </c>
      <c r="E12" s="101" t="str">
        <f>VLOOKUP($B12,STARTOVKA,4,0)</f>
        <v>TEAM BRANDENBURG - RSC COTTBUS</v>
      </c>
      <c r="F12" s="102"/>
      <c r="G12" s="102"/>
      <c r="H12" s="102">
        <v>25</v>
      </c>
      <c r="I12" s="120"/>
      <c r="J12" s="120"/>
      <c r="K12" s="102">
        <v>10</v>
      </c>
      <c r="L12" s="120"/>
      <c r="M12" s="120"/>
      <c r="N12" s="120"/>
      <c r="O12" s="102">
        <v>8</v>
      </c>
      <c r="P12" s="102"/>
      <c r="Q12" s="102"/>
      <c r="R12" s="102"/>
      <c r="S12" s="102"/>
      <c r="T12" s="103">
        <f>SUM(F12:S12)</f>
        <v>43</v>
      </c>
      <c r="U12" s="187"/>
      <c r="V12" s="191">
        <f ca="1">VLOOKUP(B12,INDIRECT($V$1),12,0)</f>
        <v>1</v>
      </c>
      <c r="W12" s="127">
        <f>VLOOKUP(B12,$Z$12:$AA$26,2,0)</f>
        <v>8</v>
      </c>
      <c r="X12" s="191">
        <f ca="1">IFERROR(VLOOKUP(B12,INDIRECT($X$3),1,0),0)</f>
        <v>116</v>
      </c>
      <c r="Z12" s="221">
        <v>115</v>
      </c>
      <c r="AA12" s="129">
        <v>25</v>
      </c>
      <c r="AB12" s="191">
        <f ca="1">IFERROR(VLOOKUP(Z12,INDIRECT($AB$5),1,0),0)</f>
        <v>115</v>
      </c>
      <c r="AF12" s="304" t="s">
        <v>85</v>
      </c>
      <c r="AG12" s="304"/>
    </row>
    <row r="13" spans="1:37" ht="14.1" customHeight="1" x14ac:dyDescent="0.2">
      <c r="A13" s="98">
        <v>2</v>
      </c>
      <c r="B13" s="99">
        <v>115</v>
      </c>
      <c r="C13" s="99" t="str">
        <f>VLOOKUP($B13,STARTOVKA,2,0)</f>
        <v>GER19961029</v>
      </c>
      <c r="D13" s="100" t="str">
        <f>VLOOKUP($B13,STARTOVKA,3,0)</f>
        <v>KOCH Chrisitan</v>
      </c>
      <c r="E13" s="101" t="str">
        <f>VLOOKUP($B13,STARTOVKA,4,0)</f>
        <v>TEAM BRANDENBURG - RSC COTTBUS</v>
      </c>
      <c r="F13" s="102">
        <v>2</v>
      </c>
      <c r="G13" s="102"/>
      <c r="H13" s="102"/>
      <c r="I13" s="120"/>
      <c r="J13" s="120"/>
      <c r="K13" s="102">
        <v>9</v>
      </c>
      <c r="L13" s="120"/>
      <c r="M13" s="120"/>
      <c r="N13" s="120"/>
      <c r="O13" s="102">
        <v>25</v>
      </c>
      <c r="P13" s="102"/>
      <c r="Q13" s="102"/>
      <c r="R13" s="102"/>
      <c r="S13" s="102"/>
      <c r="T13" s="103">
        <f>SUM(F13:S13)</f>
        <v>36</v>
      </c>
      <c r="U13" s="187"/>
      <c r="V13" s="191">
        <f ca="1">VLOOKUP(B13,INDIRECT($V$1),12,0)</f>
        <v>2</v>
      </c>
      <c r="W13" s="127">
        <f>VLOOKUP(B13,$Z$12:$AA$26,2,0)</f>
        <v>25</v>
      </c>
      <c r="X13" s="191">
        <f ca="1">IFERROR(VLOOKUP(B13,INDIRECT($X$3),1,0),0)</f>
        <v>115</v>
      </c>
      <c r="Z13" s="99">
        <v>175</v>
      </c>
      <c r="AA13" s="129">
        <v>20</v>
      </c>
      <c r="AB13" s="191">
        <f t="shared" ref="AB13:AB26" ca="1" si="0">IFERROR(VLOOKUP(Z13,INDIRECT($AB$5),1,0),0)</f>
        <v>175</v>
      </c>
      <c r="AF13" s="305"/>
      <c r="AG13" s="305" t="s">
        <v>86</v>
      </c>
    </row>
    <row r="14" spans="1:37" s="20" customFormat="1" ht="14.1" customHeight="1" x14ac:dyDescent="0.2">
      <c r="A14" s="98">
        <v>3</v>
      </c>
      <c r="B14" s="99">
        <v>175</v>
      </c>
      <c r="C14" s="99" t="str">
        <f>VLOOKUP($B14,STARTOVKA,2,0)</f>
        <v>SVK19960415</v>
      </c>
      <c r="D14" s="100" t="str">
        <f>VLOOKUP($B14,STARTOVKA,3,0)</f>
        <v>ZVERKO David</v>
      </c>
      <c r="E14" s="101" t="str">
        <f>VLOOKUP($B14,STARTOVKA,4,0)</f>
        <v xml:space="preserve">SLOVAK CYCLING FEDERATION </v>
      </c>
      <c r="F14" s="102">
        <v>3</v>
      </c>
      <c r="G14" s="102"/>
      <c r="H14" s="102"/>
      <c r="I14" s="120"/>
      <c r="J14" s="120"/>
      <c r="K14" s="102">
        <v>3</v>
      </c>
      <c r="L14" s="120"/>
      <c r="M14" s="120"/>
      <c r="N14" s="120"/>
      <c r="O14" s="102">
        <v>20</v>
      </c>
      <c r="P14" s="102"/>
      <c r="Q14" s="102"/>
      <c r="R14" s="102"/>
      <c r="S14" s="102"/>
      <c r="T14" s="103">
        <f>SUM(F14:S14)</f>
        <v>26</v>
      </c>
      <c r="U14" s="187"/>
      <c r="V14" s="191">
        <f ca="1">VLOOKUP(B14,INDIRECT($V$1),12,0)</f>
        <v>3</v>
      </c>
      <c r="W14" s="127">
        <f>VLOOKUP(B14,$Z$12:$AA$26,2,0)</f>
        <v>20</v>
      </c>
      <c r="X14" s="191">
        <f ca="1">IFERROR(VLOOKUP(B14,INDIRECT($X$3),1,0),0)</f>
        <v>175</v>
      </c>
      <c r="Z14" s="99">
        <v>101</v>
      </c>
      <c r="AA14" s="129">
        <v>16</v>
      </c>
      <c r="AB14" s="191">
        <f t="shared" ca="1" si="0"/>
        <v>101</v>
      </c>
      <c r="AC14" s="123"/>
      <c r="AD14" s="123"/>
      <c r="AF14" s="305"/>
      <c r="AG14" s="305" t="s">
        <v>87</v>
      </c>
      <c r="AH14" s="305"/>
      <c r="AI14" s="303"/>
      <c r="AJ14" s="303"/>
      <c r="AK14" s="303"/>
    </row>
    <row r="15" spans="1:37" s="20" customFormat="1" ht="14.1" customHeight="1" x14ac:dyDescent="0.2">
      <c r="A15" s="98">
        <v>4</v>
      </c>
      <c r="B15" s="99">
        <v>151</v>
      </c>
      <c r="C15" s="99" t="str">
        <f>VLOOKUP($B15,STARTOVKA,2,0)</f>
        <v>CZE19960501</v>
      </c>
      <c r="D15" s="100" t="str">
        <f>VLOOKUP($B15,STARTOVKA,3,0)</f>
        <v>TOMAN Vojtěch</v>
      </c>
      <c r="E15" s="101" t="str">
        <f>VLOOKUP($B15,STARTOVKA,4,0)</f>
        <v>STEVENS ZNOJMO</v>
      </c>
      <c r="F15" s="102">
        <v>1</v>
      </c>
      <c r="G15" s="102"/>
      <c r="H15" s="102">
        <v>10</v>
      </c>
      <c r="I15" s="120"/>
      <c r="J15" s="120"/>
      <c r="K15" s="102"/>
      <c r="L15" s="120"/>
      <c r="M15" s="120"/>
      <c r="N15" s="120"/>
      <c r="O15" s="102">
        <v>12</v>
      </c>
      <c r="P15" s="102"/>
      <c r="Q15" s="102"/>
      <c r="R15" s="102"/>
      <c r="S15" s="102"/>
      <c r="T15" s="103">
        <f>SUM(F15:S15)</f>
        <v>23</v>
      </c>
      <c r="U15" s="187"/>
      <c r="V15" s="191">
        <f ca="1">VLOOKUP(B15,INDIRECT($V$1),12,0)</f>
        <v>10</v>
      </c>
      <c r="W15" s="127">
        <f>VLOOKUP(B15,$Z$12:$AA$26,2,0)</f>
        <v>12</v>
      </c>
      <c r="X15" s="191">
        <f ca="1">IFERROR(VLOOKUP(B15,INDIRECT($X$3),1,0),0)</f>
        <v>151</v>
      </c>
      <c r="Z15" s="99">
        <v>45</v>
      </c>
      <c r="AA15" s="129">
        <v>14</v>
      </c>
      <c r="AB15" s="191">
        <f t="shared" ca="1" si="0"/>
        <v>45</v>
      </c>
      <c r="AC15" s="123"/>
      <c r="AD15" s="123"/>
      <c r="AF15" s="305"/>
      <c r="AG15" s="305" t="s">
        <v>88</v>
      </c>
      <c r="AH15" s="305"/>
      <c r="AI15" s="303"/>
      <c r="AJ15" s="303"/>
      <c r="AK15" s="303"/>
    </row>
    <row r="16" spans="1:37" s="20" customFormat="1" ht="14.1" customHeight="1" x14ac:dyDescent="0.2">
      <c r="A16" s="98">
        <v>5</v>
      </c>
      <c r="B16" s="99">
        <v>2</v>
      </c>
      <c r="C16" s="99" t="str">
        <f>VLOOKUP($B16,STARTOVKA,2,0)</f>
        <v>GER19960829</v>
      </c>
      <c r="D16" s="100" t="str">
        <f>VLOOKUP($B16,STARTOVKA,3,0)</f>
        <v>SCHUCHMANN Franz-Leon</v>
      </c>
      <c r="E16" s="101" t="str">
        <f>VLOOKUP($B16,STARTOVKA,4,0)</f>
        <v>RSV SONNEBERG</v>
      </c>
      <c r="F16" s="102"/>
      <c r="G16" s="102"/>
      <c r="H16" s="102">
        <v>20</v>
      </c>
      <c r="I16" s="120"/>
      <c r="J16" s="120"/>
      <c r="K16" s="102"/>
      <c r="L16" s="120"/>
      <c r="M16" s="120"/>
      <c r="N16" s="120"/>
      <c r="O16" s="102"/>
      <c r="P16" s="102"/>
      <c r="Q16" s="102"/>
      <c r="R16" s="102"/>
      <c r="S16" s="102"/>
      <c r="T16" s="103">
        <f>SUM(F16:S16)</f>
        <v>20</v>
      </c>
      <c r="U16" s="187"/>
      <c r="V16" s="191">
        <f ca="1">VLOOKUP(B16,INDIRECT($V$1),12,0)</f>
        <v>15</v>
      </c>
      <c r="W16" s="127" t="e">
        <f>VLOOKUP(B16,$Z$12:$AA$26,2,0)</f>
        <v>#N/A</v>
      </c>
      <c r="X16" s="191">
        <f ca="1">IFERROR(VLOOKUP(B16,INDIRECT($X$3),1,0),0)</f>
        <v>2</v>
      </c>
      <c r="Z16" s="221">
        <v>151</v>
      </c>
      <c r="AA16" s="129">
        <v>12</v>
      </c>
      <c r="AB16" s="191">
        <f t="shared" ca="1" si="0"/>
        <v>151</v>
      </c>
      <c r="AC16" s="123"/>
      <c r="AD16" s="123"/>
      <c r="AF16" s="303"/>
      <c r="AG16" s="303"/>
      <c r="AH16" s="303"/>
      <c r="AI16" s="303"/>
      <c r="AJ16" s="303"/>
      <c r="AK16" s="303"/>
    </row>
    <row r="17" spans="1:37" s="20" customFormat="1" ht="14.1" customHeight="1" x14ac:dyDescent="0.2">
      <c r="A17" s="98">
        <v>6</v>
      </c>
      <c r="B17" s="99">
        <v>45</v>
      </c>
      <c r="C17" s="99" t="str">
        <f>VLOOKUP($B17,STARTOVKA,2,0)</f>
        <v>CZE19960630</v>
      </c>
      <c r="D17" s="100" t="str">
        <f>VLOOKUP($B17,STARTOVKA,3,0)</f>
        <v xml:space="preserve">LEHKÝ Roman </v>
      </c>
      <c r="E17" s="101" t="str">
        <f>VLOOKUP($B17,STARTOVKA,4,0)</f>
        <v>KC KOOPERATIVA SG JABLONEC N.N</v>
      </c>
      <c r="F17" s="102"/>
      <c r="G17" s="102"/>
      <c r="H17" s="102"/>
      <c r="I17" s="120"/>
      <c r="J17" s="120"/>
      <c r="K17" s="102">
        <v>6</v>
      </c>
      <c r="L17" s="120"/>
      <c r="M17" s="120"/>
      <c r="N17" s="120"/>
      <c r="O17" s="102">
        <v>14</v>
      </c>
      <c r="P17" s="102"/>
      <c r="Q17" s="102"/>
      <c r="R17" s="102"/>
      <c r="S17" s="102"/>
      <c r="T17" s="103">
        <f>SUM(F17:S17)</f>
        <v>20</v>
      </c>
      <c r="U17" s="187"/>
      <c r="V17" s="191">
        <f ca="1">VLOOKUP(B17,INDIRECT($V$1),12,0)</f>
        <v>4</v>
      </c>
      <c r="W17" s="127">
        <f>VLOOKUP(B17,$Z$12:$AA$26,2,0)</f>
        <v>14</v>
      </c>
      <c r="X17" s="191">
        <f ca="1">IFERROR(VLOOKUP(B17,INDIRECT($X$3),1,0),0)</f>
        <v>45</v>
      </c>
      <c r="Z17" s="99">
        <v>82</v>
      </c>
      <c r="AA17" s="129">
        <v>10</v>
      </c>
      <c r="AB17" s="191">
        <f t="shared" ca="1" si="0"/>
        <v>82</v>
      </c>
      <c r="AC17" s="123"/>
      <c r="AD17" s="123"/>
      <c r="AF17" s="304" t="s">
        <v>137</v>
      </c>
      <c r="AG17" s="304"/>
      <c r="AH17" s="303"/>
      <c r="AI17" s="303"/>
      <c r="AJ17" s="303"/>
      <c r="AK17" s="303"/>
    </row>
    <row r="18" spans="1:37" s="20" customFormat="1" ht="14.1" customHeight="1" x14ac:dyDescent="0.2">
      <c r="A18" s="98">
        <v>7</v>
      </c>
      <c r="B18" s="99">
        <v>182</v>
      </c>
      <c r="C18" s="99" t="str">
        <f>VLOOKUP($B18,STARTOVKA,2,0)</f>
        <v>AUT19960709</v>
      </c>
      <c r="D18" s="100" t="str">
        <f>VLOOKUP($B18,STARTOVKA,3,0)</f>
        <v>KOPFAUF Markus</v>
      </c>
      <c r="E18" s="101" t="str">
        <f>VLOOKUP($B18,STARTOVKA,4,0)</f>
        <v xml:space="preserve">LRV STEIERMARK </v>
      </c>
      <c r="F18" s="102"/>
      <c r="G18" s="102"/>
      <c r="H18" s="102">
        <v>8</v>
      </c>
      <c r="I18" s="120"/>
      <c r="J18" s="120"/>
      <c r="K18" s="102">
        <v>8</v>
      </c>
      <c r="L18" s="120"/>
      <c r="M18" s="120"/>
      <c r="N18" s="120"/>
      <c r="O18" s="102"/>
      <c r="P18" s="102"/>
      <c r="Q18" s="102"/>
      <c r="R18" s="102"/>
      <c r="S18" s="102"/>
      <c r="T18" s="103">
        <f>SUM(F18:S18)</f>
        <v>16</v>
      </c>
      <c r="U18" s="187"/>
      <c r="V18" s="191">
        <f ca="1">VLOOKUP(B18,INDIRECT($V$1),12,0)</f>
        <v>39</v>
      </c>
      <c r="W18" s="127" t="e">
        <f>VLOOKUP(B18,$Z$12:$AA$26,2,0)</f>
        <v>#N/A</v>
      </c>
      <c r="X18" s="191">
        <f ca="1">IFERROR(VLOOKUP(B18,INDIRECT($X$3),1,0),0)</f>
        <v>182</v>
      </c>
      <c r="Z18" s="99">
        <v>146</v>
      </c>
      <c r="AA18" s="129">
        <v>9</v>
      </c>
      <c r="AB18" s="191">
        <f t="shared" ca="1" si="0"/>
        <v>146</v>
      </c>
      <c r="AC18" s="123"/>
      <c r="AD18" s="123"/>
      <c r="AF18" s="303"/>
      <c r="AG18" s="305" t="s">
        <v>138</v>
      </c>
      <c r="AH18" s="303"/>
      <c r="AI18" s="303"/>
      <c r="AJ18" s="303"/>
      <c r="AK18" s="303"/>
    </row>
    <row r="19" spans="1:37" s="20" customFormat="1" ht="14.1" customHeight="1" x14ac:dyDescent="0.2">
      <c r="A19" s="98">
        <v>8</v>
      </c>
      <c r="B19" s="99">
        <v>143</v>
      </c>
      <c r="C19" s="99" t="str">
        <f>VLOOKUP($B19,STARTOVKA,2,0)</f>
        <v>CZE19960606</v>
      </c>
      <c r="D19" s="100" t="str">
        <f>VLOOKUP($B19,STARTOVKA,3,0)</f>
        <v xml:space="preserve">KOVÁŘ Jan </v>
      </c>
      <c r="E19" s="101" t="str">
        <f>VLOOKUP($B19,STARTOVKA,4,0)</f>
        <v xml:space="preserve">MAPEI CYKLO KAŇKOVSKÝ </v>
      </c>
      <c r="F19" s="102"/>
      <c r="G19" s="102"/>
      <c r="H19" s="102">
        <v>16</v>
      </c>
      <c r="I19" s="120"/>
      <c r="J19" s="120"/>
      <c r="K19" s="102"/>
      <c r="L19" s="120"/>
      <c r="M19" s="120"/>
      <c r="N19" s="120"/>
      <c r="O19" s="102"/>
      <c r="P19" s="102"/>
      <c r="Q19" s="102"/>
      <c r="R19" s="102"/>
      <c r="S19" s="102"/>
      <c r="T19" s="103">
        <f>SUM(F19:S19)</f>
        <v>16</v>
      </c>
      <c r="U19" s="187"/>
      <c r="V19" s="191">
        <f ca="1">VLOOKUP(B19,INDIRECT($V$1),12,0)</f>
        <v>72</v>
      </c>
      <c r="W19" s="127" t="e">
        <f>VLOOKUP(B19,$Z$12:$AA$26,2,0)</f>
        <v>#N/A</v>
      </c>
      <c r="X19" s="191">
        <f ca="1">IFERROR(VLOOKUP(B19,INDIRECT($X$3),1,0),0)</f>
        <v>143</v>
      </c>
      <c r="Z19" s="99">
        <v>116</v>
      </c>
      <c r="AA19" s="129">
        <v>8</v>
      </c>
      <c r="AB19" s="191">
        <f t="shared" ca="1" si="0"/>
        <v>116</v>
      </c>
      <c r="AC19" s="123"/>
      <c r="AD19" s="123"/>
      <c r="AF19" s="303"/>
      <c r="AG19" s="303"/>
      <c r="AH19" s="303"/>
      <c r="AI19" s="303"/>
      <c r="AJ19" s="303"/>
      <c r="AK19" s="303"/>
    </row>
    <row r="20" spans="1:37" s="20" customFormat="1" ht="14.1" customHeight="1" x14ac:dyDescent="0.2">
      <c r="A20" s="98">
        <v>9</v>
      </c>
      <c r="B20" s="99">
        <v>101</v>
      </c>
      <c r="C20" s="99" t="str">
        <f>VLOOKUP($B20,STARTOVKA,2,0)</f>
        <v>CZE19970829</v>
      </c>
      <c r="D20" s="100" t="str">
        <f>VLOOKUP($B20,STARTOVKA,3,0)</f>
        <v xml:space="preserve">BAŘTIPÁN Josef </v>
      </c>
      <c r="E20" s="101" t="str">
        <f>VLOOKUP($B20,STARTOVKA,4,0)</f>
        <v xml:space="preserve">TJ STADION LOUNY </v>
      </c>
      <c r="F20" s="102"/>
      <c r="G20" s="102"/>
      <c r="H20" s="102"/>
      <c r="I20" s="120"/>
      <c r="J20" s="120"/>
      <c r="K20" s="102"/>
      <c r="L20" s="120"/>
      <c r="M20" s="120"/>
      <c r="N20" s="120"/>
      <c r="O20" s="102">
        <v>16</v>
      </c>
      <c r="P20" s="102"/>
      <c r="Q20" s="102"/>
      <c r="R20" s="102"/>
      <c r="S20" s="102"/>
      <c r="T20" s="103">
        <f>SUM(F20:S20)</f>
        <v>16</v>
      </c>
      <c r="U20" s="187"/>
      <c r="V20" s="191">
        <f ca="1">VLOOKUP(B20,INDIRECT($V$1),12,0)</f>
        <v>13</v>
      </c>
      <c r="W20" s="127">
        <f>VLOOKUP(B20,$Z$12:$AA$26,2,0)</f>
        <v>16</v>
      </c>
      <c r="X20" s="191">
        <f ca="1">IFERROR(VLOOKUP(B20,INDIRECT($X$3),1,0),0)</f>
        <v>101</v>
      </c>
      <c r="Z20" s="99">
        <v>105</v>
      </c>
      <c r="AA20" s="129">
        <v>7</v>
      </c>
      <c r="AB20" s="191">
        <f t="shared" ca="1" si="0"/>
        <v>105</v>
      </c>
      <c r="AC20" s="123"/>
      <c r="AD20" s="123"/>
      <c r="AF20" s="303"/>
      <c r="AG20" s="303"/>
      <c r="AH20" s="303"/>
      <c r="AI20" s="303"/>
      <c r="AJ20" s="303"/>
      <c r="AK20" s="303"/>
    </row>
    <row r="21" spans="1:37" s="20" customFormat="1" ht="14.1" customHeight="1" x14ac:dyDescent="0.2">
      <c r="A21" s="98">
        <v>10</v>
      </c>
      <c r="B21" s="99">
        <v>117</v>
      </c>
      <c r="C21" s="99" t="str">
        <f>VLOOKUP($B21,STARTOVKA,2,0)</f>
        <v>GER19971022</v>
      </c>
      <c r="D21" s="100" t="str">
        <f>VLOOKUP($B21,STARTOVKA,3,0)</f>
        <v>KANTER Max</v>
      </c>
      <c r="E21" s="101" t="str">
        <f>VLOOKUP($B21,STARTOVKA,4,0)</f>
        <v>TEAM BRANDENBURG - RSC COTTBUS</v>
      </c>
      <c r="F21" s="102"/>
      <c r="G21" s="102"/>
      <c r="H21" s="102">
        <v>7</v>
      </c>
      <c r="I21" s="120"/>
      <c r="J21" s="120"/>
      <c r="K21" s="102">
        <v>7</v>
      </c>
      <c r="L21" s="120"/>
      <c r="M21" s="120"/>
      <c r="N21" s="120"/>
      <c r="O21" s="102"/>
      <c r="P21" s="102"/>
      <c r="Q21" s="102"/>
      <c r="R21" s="102"/>
      <c r="S21" s="102"/>
      <c r="T21" s="103">
        <f>SUM(F21:S21)</f>
        <v>14</v>
      </c>
      <c r="U21" s="187"/>
      <c r="V21" s="191">
        <f ca="1">VLOOKUP(B21,INDIRECT($V$1),12,0)</f>
        <v>34</v>
      </c>
      <c r="W21" s="127" t="e">
        <f>VLOOKUP(B21,$Z$12:$AA$26,2,0)</f>
        <v>#N/A</v>
      </c>
      <c r="X21" s="191">
        <f ca="1">IFERROR(VLOOKUP(B21,INDIRECT($X$3),1,0),0)</f>
        <v>117</v>
      </c>
      <c r="Z21" s="99">
        <v>133</v>
      </c>
      <c r="AA21" s="129">
        <v>6</v>
      </c>
      <c r="AB21" s="191">
        <f t="shared" ca="1" si="0"/>
        <v>133</v>
      </c>
      <c r="AC21" s="123"/>
      <c r="AD21" s="123"/>
      <c r="AF21" s="303"/>
      <c r="AG21" s="303"/>
      <c r="AH21" s="303"/>
      <c r="AI21" s="303"/>
      <c r="AJ21" s="303"/>
      <c r="AK21" s="303"/>
    </row>
    <row r="22" spans="1:37" s="20" customFormat="1" ht="14.1" customHeight="1" x14ac:dyDescent="0.2">
      <c r="A22" s="98">
        <v>11</v>
      </c>
      <c r="B22" s="99">
        <v>93</v>
      </c>
      <c r="C22" s="99" t="str">
        <f>VLOOKUP($B22,STARTOVKA,2,0)</f>
        <v>CZE19960424</v>
      </c>
      <c r="D22" s="100" t="str">
        <f>VLOOKUP($B22,STARTOVKA,3,0)</f>
        <v xml:space="preserve">GRUBER Pavel </v>
      </c>
      <c r="E22" s="101" t="str">
        <f>VLOOKUP($B22,STARTOVKA,4,0)</f>
        <v xml:space="preserve">TJ FAVORIT BRNO </v>
      </c>
      <c r="F22" s="102"/>
      <c r="G22" s="102"/>
      <c r="H22" s="102">
        <v>14</v>
      </c>
      <c r="I22" s="120"/>
      <c r="J22" s="120"/>
      <c r="K22" s="102"/>
      <c r="L22" s="120"/>
      <c r="M22" s="120"/>
      <c r="N22" s="120"/>
      <c r="O22" s="102"/>
      <c r="P22" s="102"/>
      <c r="Q22" s="102"/>
      <c r="R22" s="102"/>
      <c r="S22" s="102"/>
      <c r="T22" s="103">
        <f>SUM(F22:S22)</f>
        <v>14</v>
      </c>
      <c r="U22" s="187"/>
      <c r="V22" s="191">
        <f ca="1">VLOOKUP(B22,INDIRECT($V$1),12,0)</f>
        <v>23</v>
      </c>
      <c r="W22" s="127" t="e">
        <f>VLOOKUP(B22,$Z$12:$AA$26,2,0)</f>
        <v>#N/A</v>
      </c>
      <c r="X22" s="191">
        <f ca="1">IFERROR(VLOOKUP(B22,INDIRECT($X$3),1,0),0)</f>
        <v>93</v>
      </c>
      <c r="Z22" s="99">
        <v>176</v>
      </c>
      <c r="AA22" s="129">
        <v>5</v>
      </c>
      <c r="AB22" s="191">
        <f t="shared" ca="1" si="0"/>
        <v>176</v>
      </c>
      <c r="AC22" s="123"/>
      <c r="AD22" s="123"/>
      <c r="AF22" s="303"/>
      <c r="AG22" s="303"/>
      <c r="AH22" s="299"/>
      <c r="AI22" s="303"/>
      <c r="AJ22" s="303"/>
      <c r="AK22" s="303"/>
    </row>
    <row r="23" spans="1:37" s="20" customFormat="1" ht="14.1" customHeight="1" x14ac:dyDescent="0.2">
      <c r="A23" s="98">
        <v>12</v>
      </c>
      <c r="B23" s="99">
        <v>146</v>
      </c>
      <c r="C23" s="99" t="str">
        <f>VLOOKUP($B23,STARTOVKA,2,0)</f>
        <v>CZE19980130</v>
      </c>
      <c r="D23" s="100" t="str">
        <f>VLOOKUP($B23,STARTOVKA,3,0)</f>
        <v xml:space="preserve">OTRUBA Jakub </v>
      </c>
      <c r="E23" s="101" t="str">
        <f>VLOOKUP($B23,STARTOVKA,4,0)</f>
        <v xml:space="preserve">MAPEI CYKLO KAŇKOVSKÝ </v>
      </c>
      <c r="F23" s="102"/>
      <c r="G23" s="102"/>
      <c r="H23" s="102"/>
      <c r="I23" s="120"/>
      <c r="J23" s="120"/>
      <c r="K23" s="102">
        <v>4</v>
      </c>
      <c r="L23" s="120"/>
      <c r="M23" s="120"/>
      <c r="N23" s="120"/>
      <c r="O23" s="102">
        <v>9</v>
      </c>
      <c r="P23" s="102"/>
      <c r="Q23" s="102"/>
      <c r="R23" s="102"/>
      <c r="S23" s="102"/>
      <c r="T23" s="103">
        <f>SUM(F23:S23)</f>
        <v>13</v>
      </c>
      <c r="U23" s="187"/>
      <c r="V23" s="191">
        <f ca="1">VLOOKUP(B23,INDIRECT($V$1),12,0)</f>
        <v>5</v>
      </c>
      <c r="W23" s="127">
        <f>VLOOKUP(B23,$Z$12:$AA$26,2,0)</f>
        <v>9</v>
      </c>
      <c r="X23" s="191">
        <f ca="1">IFERROR(VLOOKUP(B23,INDIRECT($X$3),1,0),0)</f>
        <v>146</v>
      </c>
      <c r="Z23" s="99">
        <v>52</v>
      </c>
      <c r="AA23" s="129">
        <v>4</v>
      </c>
      <c r="AB23" s="191">
        <f t="shared" ca="1" si="0"/>
        <v>52</v>
      </c>
      <c r="AC23" s="123"/>
      <c r="AD23" s="123"/>
      <c r="AF23" s="303"/>
      <c r="AG23" s="303"/>
      <c r="AH23" s="299"/>
      <c r="AI23" s="303"/>
      <c r="AJ23" s="303"/>
      <c r="AK23" s="303"/>
    </row>
    <row r="24" spans="1:37" s="20" customFormat="1" ht="14.1" customHeight="1" x14ac:dyDescent="0.2">
      <c r="A24" s="98">
        <v>13</v>
      </c>
      <c r="B24" s="99">
        <v>113</v>
      </c>
      <c r="C24" s="99" t="str">
        <f>VLOOKUP($B24,STARTOVKA,2,0)</f>
        <v>GER19961002</v>
      </c>
      <c r="D24" s="100" t="str">
        <f>VLOOKUP($B24,STARTOVKA,3,0)</f>
        <v>ROHDE Louis</v>
      </c>
      <c r="E24" s="101" t="str">
        <f>VLOOKUP($B24,STARTOVKA,4,0)</f>
        <v>TEAM BRANDENBURG - RSC COTTBUS</v>
      </c>
      <c r="F24" s="102"/>
      <c r="G24" s="102"/>
      <c r="H24" s="102">
        <v>12</v>
      </c>
      <c r="I24" s="120"/>
      <c r="J24" s="120"/>
      <c r="K24" s="102"/>
      <c r="L24" s="120"/>
      <c r="M24" s="120"/>
      <c r="N24" s="120"/>
      <c r="O24" s="102"/>
      <c r="P24" s="102"/>
      <c r="Q24" s="102"/>
      <c r="R24" s="102"/>
      <c r="S24" s="102"/>
      <c r="T24" s="103">
        <f>SUM(F24:S24)</f>
        <v>12</v>
      </c>
      <c r="U24" s="187"/>
      <c r="V24" s="191">
        <f ca="1">VLOOKUP(B24,INDIRECT($V$1),12,0)</f>
        <v>90</v>
      </c>
      <c r="W24" s="127" t="e">
        <f>VLOOKUP(B24,$Z$12:$AA$26,2,0)</f>
        <v>#N/A</v>
      </c>
      <c r="X24" s="191">
        <f ca="1">IFERROR(VLOOKUP(B24,INDIRECT($X$3),1,0),0)</f>
        <v>113</v>
      </c>
      <c r="Z24" s="99">
        <v>172</v>
      </c>
      <c r="AA24" s="129">
        <v>3</v>
      </c>
      <c r="AB24" s="191">
        <f t="shared" ca="1" si="0"/>
        <v>172</v>
      </c>
      <c r="AC24" s="123"/>
      <c r="AD24" s="123"/>
      <c r="AF24" s="303"/>
      <c r="AG24" s="303"/>
      <c r="AH24" s="299"/>
      <c r="AI24" s="303"/>
      <c r="AJ24" s="303"/>
      <c r="AK24" s="303"/>
    </row>
    <row r="25" spans="1:37" s="20" customFormat="1" ht="14.1" customHeight="1" x14ac:dyDescent="0.2">
      <c r="A25" s="98">
        <v>14</v>
      </c>
      <c r="B25" s="99">
        <v>82</v>
      </c>
      <c r="C25" s="99" t="str">
        <f>VLOOKUP($B25,STARTOVKA,2,0)</f>
        <v>CZE19960127</v>
      </c>
      <c r="D25" s="100" t="str">
        <f>VLOOKUP($B25,STARTOVKA,3,0)</f>
        <v xml:space="preserve">ŠIPOŠ Marek </v>
      </c>
      <c r="E25" s="101" t="str">
        <f>VLOOKUP($B25,STARTOVKA,4,0)</f>
        <v xml:space="preserve">TJ KOVO PRAHA </v>
      </c>
      <c r="F25" s="102"/>
      <c r="G25" s="102"/>
      <c r="H25" s="102"/>
      <c r="I25" s="120"/>
      <c r="J25" s="120"/>
      <c r="K25" s="102"/>
      <c r="L25" s="120"/>
      <c r="M25" s="120"/>
      <c r="N25" s="120"/>
      <c r="O25" s="102">
        <v>10</v>
      </c>
      <c r="P25" s="102"/>
      <c r="Q25" s="102"/>
      <c r="R25" s="102"/>
      <c r="S25" s="102"/>
      <c r="T25" s="103">
        <f>SUM(F25:S25)</f>
        <v>10</v>
      </c>
      <c r="U25" s="187"/>
      <c r="V25" s="191">
        <f ca="1">VLOOKUP(B25,INDIRECT($V$1),12,0)</f>
        <v>12</v>
      </c>
      <c r="W25" s="127">
        <f>VLOOKUP(B25,$Z$12:$AA$26,2,0)</f>
        <v>10</v>
      </c>
      <c r="X25" s="191">
        <f ca="1">IFERROR(VLOOKUP(B25,INDIRECT($X$3),1,0),0)</f>
        <v>82</v>
      </c>
      <c r="Z25" s="99">
        <v>41</v>
      </c>
      <c r="AA25" s="129">
        <v>2</v>
      </c>
      <c r="AB25" s="191">
        <f t="shared" ca="1" si="0"/>
        <v>41</v>
      </c>
      <c r="AC25" s="123"/>
      <c r="AD25" s="123"/>
      <c r="AF25" s="303"/>
      <c r="AG25" s="303"/>
      <c r="AH25" s="299"/>
      <c r="AI25" s="303"/>
      <c r="AJ25" s="303"/>
      <c r="AK25" s="303"/>
    </row>
    <row r="26" spans="1:37" s="20" customFormat="1" ht="14.1" customHeight="1" x14ac:dyDescent="0.2">
      <c r="A26" s="98">
        <v>15</v>
      </c>
      <c r="B26" s="99">
        <v>111</v>
      </c>
      <c r="C26" s="99" t="str">
        <f>VLOOKUP($B26,STARTOVKA,2,0)</f>
        <v>GER19960410</v>
      </c>
      <c r="D26" s="100" t="str">
        <f>VLOOKUP($B26,STARTOVKA,3,0)</f>
        <v>BECKER Alexander</v>
      </c>
      <c r="E26" s="101" t="str">
        <f>VLOOKUP($B26,STARTOVKA,4,0)</f>
        <v>TEAM BRANDENBURG - RSC COTTBUS</v>
      </c>
      <c r="F26" s="102"/>
      <c r="G26" s="102"/>
      <c r="H26" s="102">
        <v>9</v>
      </c>
      <c r="I26" s="120"/>
      <c r="J26" s="120"/>
      <c r="K26" s="102"/>
      <c r="L26" s="120"/>
      <c r="M26" s="120"/>
      <c r="N26" s="120"/>
      <c r="O26" s="102"/>
      <c r="P26" s="102"/>
      <c r="Q26" s="102"/>
      <c r="R26" s="102"/>
      <c r="S26" s="102"/>
      <c r="T26" s="103">
        <f>SUM(F26:S26)</f>
        <v>9</v>
      </c>
      <c r="U26" s="187"/>
      <c r="V26" s="191">
        <f ca="1">VLOOKUP(B26,INDIRECT($V$1),12,0)</f>
        <v>70</v>
      </c>
      <c r="W26" s="127" t="e">
        <f>VLOOKUP(B26,$Z$12:$AA$26,2,0)</f>
        <v>#N/A</v>
      </c>
      <c r="X26" s="191">
        <f ca="1">IFERROR(VLOOKUP(B26,INDIRECT($X$3),1,0),0)</f>
        <v>111</v>
      </c>
      <c r="Z26" s="221">
        <v>150</v>
      </c>
      <c r="AA26" s="129">
        <v>1</v>
      </c>
      <c r="AB26" s="191">
        <f t="shared" ca="1" si="0"/>
        <v>150</v>
      </c>
      <c r="AC26" s="123"/>
      <c r="AD26" s="123"/>
      <c r="AF26" s="303"/>
      <c r="AG26" s="303"/>
      <c r="AH26" s="299"/>
      <c r="AI26" s="303"/>
      <c r="AJ26" s="303"/>
      <c r="AK26" s="303"/>
    </row>
    <row r="27" spans="1:37" s="20" customFormat="1" ht="14.1" customHeight="1" x14ac:dyDescent="0.2">
      <c r="A27" s="98">
        <v>16</v>
      </c>
      <c r="B27" s="99">
        <v>150</v>
      </c>
      <c r="C27" s="99" t="str">
        <f>VLOOKUP($B27,STARTOVKA,2,0)</f>
        <v>CZE19970926</v>
      </c>
      <c r="D27" s="100" t="str">
        <f>VLOOKUP($B27,STARTOVKA,3,0)</f>
        <v xml:space="preserve">BRÁZDA Michal </v>
      </c>
      <c r="E27" s="101" t="str">
        <f>VLOOKUP($B27,STARTOVKA,4,0)</f>
        <v xml:space="preserve">MAPEI CYKLO KAŇKOVSKÝ </v>
      </c>
      <c r="F27" s="102"/>
      <c r="G27" s="102">
        <v>2</v>
      </c>
      <c r="H27" s="102">
        <v>6</v>
      </c>
      <c r="I27" s="120"/>
      <c r="J27" s="120"/>
      <c r="K27" s="102"/>
      <c r="L27" s="120"/>
      <c r="M27" s="120"/>
      <c r="N27" s="120"/>
      <c r="O27" s="102">
        <v>1</v>
      </c>
      <c r="P27" s="102"/>
      <c r="Q27" s="102"/>
      <c r="R27" s="102"/>
      <c r="S27" s="102"/>
      <c r="T27" s="103">
        <f>SUM(F27:S27)</f>
        <v>9</v>
      </c>
      <c r="U27" s="187"/>
      <c r="V27" s="191">
        <f ca="1">VLOOKUP(B27,INDIRECT($V$1),12,0)</f>
        <v>28</v>
      </c>
      <c r="W27" s="127">
        <f>VLOOKUP(B27,$Z$12:$AA$26,2,0)</f>
        <v>1</v>
      </c>
      <c r="X27" s="191">
        <f ca="1">IFERROR(VLOOKUP(B27,INDIRECT($X$3),1,0),0)</f>
        <v>150</v>
      </c>
      <c r="Z27" s="123"/>
      <c r="AA27" s="123"/>
      <c r="AB27" s="123"/>
      <c r="AC27" s="123"/>
      <c r="AD27" s="123"/>
      <c r="AF27" s="303"/>
      <c r="AG27" s="303"/>
      <c r="AH27" s="299"/>
      <c r="AI27" s="303"/>
      <c r="AJ27" s="303"/>
      <c r="AK27" s="303"/>
    </row>
    <row r="28" spans="1:37" s="20" customFormat="1" ht="13.5" customHeight="1" x14ac:dyDescent="0.2">
      <c r="A28" s="98">
        <v>17</v>
      </c>
      <c r="B28" s="99">
        <v>105</v>
      </c>
      <c r="C28" s="99" t="str">
        <f>VLOOKUP($B28,STARTOVKA,2,0)</f>
        <v>CZE19960511</v>
      </c>
      <c r="D28" s="100" t="str">
        <f>VLOOKUP($B28,STARTOVKA,3,0)</f>
        <v xml:space="preserve">RAJCHART Jan </v>
      </c>
      <c r="E28" s="101" t="str">
        <f>VLOOKUP($B28,STARTOVKA,4,0)</f>
        <v xml:space="preserve">NUTREND SPECIALIZED RACING </v>
      </c>
      <c r="F28" s="102"/>
      <c r="G28" s="102"/>
      <c r="H28" s="102"/>
      <c r="I28" s="120"/>
      <c r="J28" s="120"/>
      <c r="K28" s="102"/>
      <c r="L28" s="120"/>
      <c r="M28" s="120"/>
      <c r="N28" s="120"/>
      <c r="O28" s="102">
        <v>7</v>
      </c>
      <c r="P28" s="102"/>
      <c r="Q28" s="102"/>
      <c r="R28" s="102"/>
      <c r="S28" s="102"/>
      <c r="T28" s="103">
        <f>SUM(F28:S28)</f>
        <v>7</v>
      </c>
      <c r="U28" s="187"/>
      <c r="V28" s="191">
        <f ca="1">VLOOKUP(B28,INDIRECT($V$1),12,0)</f>
        <v>7</v>
      </c>
      <c r="W28" s="127">
        <f>VLOOKUP(B28,$Z$12:$AA$26,2,0)</f>
        <v>7</v>
      </c>
      <c r="X28" s="191">
        <f ca="1">IFERROR(VLOOKUP(B28,INDIRECT($X$3),1,0),0)</f>
        <v>105</v>
      </c>
      <c r="Z28" s="123"/>
      <c r="AA28" s="123"/>
      <c r="AB28" s="123"/>
      <c r="AC28" s="123"/>
      <c r="AD28" s="123"/>
      <c r="AF28" s="303"/>
      <c r="AG28" s="303"/>
      <c r="AH28" s="299"/>
      <c r="AI28" s="303"/>
      <c r="AJ28" s="303"/>
      <c r="AK28" s="303"/>
    </row>
    <row r="29" spans="1:37" s="20" customFormat="1" ht="13.5" customHeight="1" x14ac:dyDescent="0.2">
      <c r="A29" s="98">
        <v>18</v>
      </c>
      <c r="B29" s="99">
        <v>133</v>
      </c>
      <c r="C29" s="99" t="str">
        <f>VLOOKUP($B29,STARTOVKA,2,0)</f>
        <v>CZE19960924</v>
      </c>
      <c r="D29" s="100" t="str">
        <f>VLOOKUP($B29,STARTOVKA,3,0)</f>
        <v>CAMRDA Pavel</v>
      </c>
      <c r="E29" s="101" t="str">
        <f>VLOOKUP($B29,STARTOVKA,4,0)</f>
        <v>RC ARBÖ WELS GOURMETFEIN</v>
      </c>
      <c r="F29" s="102"/>
      <c r="G29" s="102"/>
      <c r="H29" s="102"/>
      <c r="I29" s="120"/>
      <c r="J29" s="120"/>
      <c r="K29" s="102"/>
      <c r="L29" s="120"/>
      <c r="M29" s="120"/>
      <c r="N29" s="120"/>
      <c r="O29" s="102">
        <v>6</v>
      </c>
      <c r="P29" s="102"/>
      <c r="Q29" s="102"/>
      <c r="R29" s="102"/>
      <c r="S29" s="102"/>
      <c r="T29" s="103">
        <f>SUM(F29:S29)</f>
        <v>6</v>
      </c>
      <c r="U29" s="187"/>
      <c r="V29" s="191">
        <f ca="1">VLOOKUP(B29,INDIRECT($V$1),12,0)</f>
        <v>9</v>
      </c>
      <c r="W29" s="127">
        <f>VLOOKUP(B29,$Z$12:$AA$26,2,0)</f>
        <v>6</v>
      </c>
      <c r="X29" s="191">
        <f ca="1">IFERROR(VLOOKUP(B29,INDIRECT($X$3),1,0),0)</f>
        <v>133</v>
      </c>
      <c r="Z29" s="123"/>
      <c r="AA29" s="123"/>
      <c r="AB29" s="123"/>
      <c r="AC29" s="123"/>
      <c r="AD29" s="123"/>
      <c r="AF29" s="303"/>
      <c r="AG29" s="303"/>
      <c r="AH29" s="306"/>
      <c r="AI29" s="303"/>
      <c r="AJ29" s="303"/>
      <c r="AK29" s="303"/>
    </row>
    <row r="30" spans="1:37" s="20" customFormat="1" ht="13.5" customHeight="1" x14ac:dyDescent="0.2">
      <c r="A30" s="98">
        <v>19</v>
      </c>
      <c r="B30" s="99">
        <v>62</v>
      </c>
      <c r="C30" s="99" t="str">
        <f>VLOOKUP($B30,STARTOVKA,2,0)</f>
        <v>POL19970228</v>
      </c>
      <c r="D30" s="100" t="str">
        <f>VLOOKUP($B30,STARTOVKA,3,0)</f>
        <v>SKIBIŃSKI Krzysztof</v>
      </c>
      <c r="E30" s="101" t="str">
        <f>VLOOKUP($B30,STARTOVKA,4,0)</f>
        <v xml:space="preserve">DSR AUTHOR GÓRNIK WAŁBRZYCH </v>
      </c>
      <c r="F30" s="102"/>
      <c r="G30" s="102"/>
      <c r="H30" s="102"/>
      <c r="I30" s="120"/>
      <c r="J30" s="120"/>
      <c r="K30" s="102">
        <v>5</v>
      </c>
      <c r="L30" s="120"/>
      <c r="M30" s="120"/>
      <c r="N30" s="120"/>
      <c r="O30" s="102"/>
      <c r="P30" s="102"/>
      <c r="Q30" s="102"/>
      <c r="R30" s="102"/>
      <c r="S30" s="102"/>
      <c r="T30" s="103">
        <f>SUM(F30:S30)</f>
        <v>5</v>
      </c>
      <c r="U30" s="187"/>
      <c r="V30" s="191">
        <f ca="1">VLOOKUP(B30,INDIRECT($V$1),12,0)</f>
        <v>43</v>
      </c>
      <c r="W30" s="127" t="e">
        <f>VLOOKUP(B30,$Z$12:$AA$26,2,0)</f>
        <v>#N/A</v>
      </c>
      <c r="X30" s="191">
        <f ca="1">IFERROR(VLOOKUP(B30,INDIRECT($X$3),1,0),0)</f>
        <v>62</v>
      </c>
      <c r="Z30" s="130"/>
      <c r="AA30" s="130"/>
      <c r="AB30" s="130"/>
      <c r="AC30" s="130"/>
      <c r="AD30" s="130"/>
      <c r="AE30" s="312"/>
      <c r="AF30" s="303"/>
      <c r="AG30" s="303"/>
      <c r="AH30" s="302"/>
      <c r="AI30" s="303"/>
      <c r="AJ30" s="303"/>
      <c r="AK30" s="303"/>
    </row>
    <row r="31" spans="1:37" s="20" customFormat="1" ht="13.5" customHeight="1" x14ac:dyDescent="0.2">
      <c r="A31" s="98">
        <v>20</v>
      </c>
      <c r="B31" s="99">
        <v>83</v>
      </c>
      <c r="C31" s="99" t="str">
        <f>VLOOKUP($B31,STARTOVKA,2,0)</f>
        <v>CZE19960724</v>
      </c>
      <c r="D31" s="100" t="str">
        <f>VLOOKUP($B31,STARTOVKA,3,0)</f>
        <v xml:space="preserve">BECHYNĚ Matěj </v>
      </c>
      <c r="E31" s="101" t="str">
        <f>VLOOKUP($B31,STARTOVKA,4,0)</f>
        <v>VZW TIELTSE RENNERSCLUB - JIELKER GELDHOF</v>
      </c>
      <c r="F31" s="102"/>
      <c r="G31" s="102"/>
      <c r="H31" s="102">
        <v>5</v>
      </c>
      <c r="I31" s="120"/>
      <c r="J31" s="120"/>
      <c r="K31" s="102"/>
      <c r="L31" s="120"/>
      <c r="M31" s="120"/>
      <c r="N31" s="120"/>
      <c r="O31" s="102"/>
      <c r="P31" s="102"/>
      <c r="Q31" s="102"/>
      <c r="R31" s="102"/>
      <c r="S31" s="102"/>
      <c r="T31" s="103">
        <f>SUM(F31:S31)</f>
        <v>5</v>
      </c>
      <c r="U31" s="187"/>
      <c r="V31" s="191">
        <f ca="1">VLOOKUP(B31,INDIRECT($V$1),12,0)</f>
        <v>45</v>
      </c>
      <c r="W31" s="127" t="e">
        <f>VLOOKUP(B31,$Z$12:$AA$26,2,0)</f>
        <v>#N/A</v>
      </c>
      <c r="X31" s="191">
        <f ca="1">IFERROR(VLOOKUP(B31,INDIRECT($X$3),1,0),0)</f>
        <v>83</v>
      </c>
      <c r="Z31" s="130"/>
      <c r="AA31" s="130"/>
      <c r="AB31" s="130"/>
      <c r="AC31" s="130"/>
      <c r="AD31" s="130"/>
      <c r="AE31" s="312"/>
      <c r="AF31" s="303"/>
      <c r="AG31" s="303"/>
      <c r="AH31" s="299"/>
      <c r="AI31" s="303"/>
      <c r="AJ31" s="303"/>
      <c r="AK31" s="303"/>
    </row>
    <row r="32" spans="1:37" s="20" customFormat="1" ht="13.5" customHeight="1" x14ac:dyDescent="0.2">
      <c r="A32" s="98">
        <v>21</v>
      </c>
      <c r="B32" s="99">
        <v>176</v>
      </c>
      <c r="C32" s="99" t="str">
        <f>VLOOKUP($B32,STARTOVKA,2,0)</f>
        <v>SVK19960130</v>
      </c>
      <c r="D32" s="100" t="str">
        <f>VLOOKUP($B32,STARTOVKA,3,0)</f>
        <v>BELLAN Juraj</v>
      </c>
      <c r="E32" s="101" t="str">
        <f>VLOOKUP($B32,STARTOVKA,4,0)</f>
        <v xml:space="preserve">SLOVAK CYCLING FEDERATION </v>
      </c>
      <c r="F32" s="102"/>
      <c r="G32" s="102"/>
      <c r="H32" s="102"/>
      <c r="I32" s="120"/>
      <c r="J32" s="120"/>
      <c r="K32" s="102"/>
      <c r="L32" s="120"/>
      <c r="M32" s="120"/>
      <c r="N32" s="120"/>
      <c r="O32" s="102">
        <v>5</v>
      </c>
      <c r="P32" s="102"/>
      <c r="Q32" s="102"/>
      <c r="R32" s="102"/>
      <c r="S32" s="102"/>
      <c r="T32" s="103">
        <f>SUM(F32:S32)</f>
        <v>5</v>
      </c>
      <c r="U32" s="187"/>
      <c r="V32" s="191">
        <f ca="1">VLOOKUP(B32,INDIRECT($V$1),12,0)</f>
        <v>8</v>
      </c>
      <c r="W32" s="127">
        <f>VLOOKUP(B32,$Z$12:$AA$26,2,0)</f>
        <v>5</v>
      </c>
      <c r="X32" s="191">
        <f ca="1">IFERROR(VLOOKUP(B32,INDIRECT($X$3),1,0),0)</f>
        <v>176</v>
      </c>
      <c r="Z32" s="130"/>
      <c r="AA32" s="130"/>
      <c r="AB32" s="130"/>
      <c r="AC32" s="130"/>
      <c r="AD32" s="130"/>
      <c r="AE32" s="312"/>
      <c r="AF32" s="303"/>
      <c r="AG32" s="303"/>
      <c r="AH32" s="299"/>
      <c r="AI32" s="303"/>
      <c r="AJ32" s="303"/>
      <c r="AK32" s="303"/>
    </row>
    <row r="33" spans="1:37" s="20" customFormat="1" ht="13.5" customHeight="1" x14ac:dyDescent="0.2">
      <c r="A33" s="98">
        <v>22</v>
      </c>
      <c r="B33" s="99">
        <v>7</v>
      </c>
      <c r="C33" s="99" t="str">
        <f>VLOOKUP($B33,STARTOVKA,2,0)</f>
        <v>GER19970419</v>
      </c>
      <c r="D33" s="100" t="str">
        <f>VLOOKUP($B33,STARTOVKA,3,0)</f>
        <v>BURCHARDT Karl</v>
      </c>
      <c r="E33" s="101" t="str">
        <f>VLOOKUP($B33,STARTOVKA,4,0)</f>
        <v>RSC TURBINE ERFURT</v>
      </c>
      <c r="F33" s="102"/>
      <c r="G33" s="102"/>
      <c r="H33" s="102">
        <v>2</v>
      </c>
      <c r="I33" s="120"/>
      <c r="J33" s="120"/>
      <c r="K33" s="102">
        <v>2</v>
      </c>
      <c r="L33" s="120"/>
      <c r="M33" s="120"/>
      <c r="N33" s="120"/>
      <c r="O33" s="102"/>
      <c r="P33" s="102"/>
      <c r="Q33" s="102"/>
      <c r="R33" s="102"/>
      <c r="S33" s="102"/>
      <c r="T33" s="103">
        <f>SUM(F33:S33)</f>
        <v>4</v>
      </c>
      <c r="U33" s="187"/>
      <c r="V33" s="191">
        <f ca="1">VLOOKUP(B33,INDIRECT($V$1),12,0)</f>
        <v>59</v>
      </c>
      <c r="W33" s="127" t="e">
        <f>VLOOKUP(B33,$Z$12:$AA$26,2,0)</f>
        <v>#N/A</v>
      </c>
      <c r="X33" s="191">
        <f ca="1">IFERROR(VLOOKUP(B33,INDIRECT($X$3),1,0),0)</f>
        <v>7</v>
      </c>
      <c r="Z33" s="130"/>
      <c r="AA33" s="130"/>
      <c r="AB33" s="130"/>
      <c r="AC33" s="130"/>
      <c r="AD33" s="130"/>
      <c r="AE33" s="312"/>
      <c r="AF33" s="303"/>
      <c r="AG33" s="303"/>
      <c r="AH33" s="299"/>
      <c r="AI33" s="303"/>
      <c r="AJ33" s="303"/>
      <c r="AK33" s="303"/>
    </row>
    <row r="34" spans="1:37" s="20" customFormat="1" ht="13.5" customHeight="1" x14ac:dyDescent="0.2">
      <c r="A34" s="98">
        <v>23</v>
      </c>
      <c r="B34" s="99">
        <v>165</v>
      </c>
      <c r="C34" s="99" t="str">
        <f>VLOOKUP($B34,STARTOVKA,2,0)</f>
        <v>RUS19960517</v>
      </c>
      <c r="D34" s="100" t="str">
        <f>VLOOKUP($B34,STARTOVKA,3,0)</f>
        <v xml:space="preserve">MARTYSHEV Aleksandr </v>
      </c>
      <c r="E34" s="101" t="str">
        <f>VLOOKUP($B34,STARTOVKA,4,0)</f>
        <v>RUSSIAN CYCLING FEDERATION</v>
      </c>
      <c r="F34" s="102"/>
      <c r="G34" s="102"/>
      <c r="H34" s="102">
        <v>4</v>
      </c>
      <c r="I34" s="120"/>
      <c r="J34" s="120"/>
      <c r="K34" s="102"/>
      <c r="L34" s="120"/>
      <c r="M34" s="120"/>
      <c r="N34" s="120"/>
      <c r="O34" s="102"/>
      <c r="P34" s="102"/>
      <c r="Q34" s="102"/>
      <c r="R34" s="102"/>
      <c r="S34" s="102"/>
      <c r="T34" s="103">
        <f>SUM(F34:S34)</f>
        <v>4</v>
      </c>
      <c r="U34" s="187"/>
      <c r="V34" s="191">
        <f ca="1">VLOOKUP(B34,INDIRECT($V$1),12,0)</f>
        <v>99</v>
      </c>
      <c r="W34" s="127" t="e">
        <f>VLOOKUP(B34,$Z$12:$AA$26,2,0)</f>
        <v>#N/A</v>
      </c>
      <c r="X34" s="191">
        <f ca="1">IFERROR(VLOOKUP(B34,INDIRECT($X$3),1,0),0)</f>
        <v>165</v>
      </c>
      <c r="Z34" s="130"/>
      <c r="AA34" s="130"/>
      <c r="AB34" s="130"/>
      <c r="AC34" s="130"/>
      <c r="AD34" s="130"/>
      <c r="AE34" s="312"/>
      <c r="AF34" s="303"/>
      <c r="AG34" s="303"/>
      <c r="AH34" s="306"/>
      <c r="AI34" s="303"/>
      <c r="AJ34" s="303"/>
      <c r="AK34" s="303"/>
    </row>
    <row r="35" spans="1:37" s="20" customFormat="1" ht="13.5" customHeight="1" x14ac:dyDescent="0.2">
      <c r="A35" s="98">
        <v>24</v>
      </c>
      <c r="B35" s="99">
        <v>52</v>
      </c>
      <c r="C35" s="99" t="str">
        <f>VLOOKUP($B35,STARTOVKA,2,0)</f>
        <v>POL19961008</v>
      </c>
      <c r="D35" s="100" t="str">
        <f>VLOOKUP($B35,STARTOVKA,3,0)</f>
        <v>ZLOTOWICZ Patryk</v>
      </c>
      <c r="E35" s="101" t="str">
        <f>VLOOKUP($B35,STARTOVKA,4,0)</f>
        <v>KLUCZBORK</v>
      </c>
      <c r="F35" s="102"/>
      <c r="G35" s="102"/>
      <c r="H35" s="102"/>
      <c r="I35" s="120"/>
      <c r="J35" s="120"/>
      <c r="K35" s="102"/>
      <c r="L35" s="120"/>
      <c r="M35" s="120"/>
      <c r="N35" s="120"/>
      <c r="O35" s="102">
        <v>4</v>
      </c>
      <c r="P35" s="102"/>
      <c r="Q35" s="102"/>
      <c r="R35" s="102"/>
      <c r="S35" s="102"/>
      <c r="T35" s="103">
        <f>SUM(F35:S35)</f>
        <v>4</v>
      </c>
      <c r="U35" s="187"/>
      <c r="V35" s="191">
        <f ca="1">VLOOKUP(B35,INDIRECT($V$1),12,0)</f>
        <v>6</v>
      </c>
      <c r="W35" s="127">
        <f>VLOOKUP(B35,$Z$12:$AA$26,2,0)</f>
        <v>4</v>
      </c>
      <c r="X35" s="191">
        <f ca="1">IFERROR(VLOOKUP(B35,INDIRECT($X$3),1,0),0)</f>
        <v>52</v>
      </c>
      <c r="Z35" s="130"/>
      <c r="AA35" s="130"/>
      <c r="AB35" s="130"/>
      <c r="AC35" s="130"/>
      <c r="AD35" s="130"/>
      <c r="AE35" s="312"/>
      <c r="AF35" s="303"/>
      <c r="AG35" s="303"/>
      <c r="AH35" s="307"/>
      <c r="AI35" s="303"/>
      <c r="AJ35" s="303"/>
      <c r="AK35" s="303"/>
    </row>
    <row r="36" spans="1:37" s="20" customFormat="1" ht="14.1" customHeight="1" x14ac:dyDescent="0.2">
      <c r="A36" s="98">
        <v>25</v>
      </c>
      <c r="B36" s="99">
        <v>137</v>
      </c>
      <c r="C36" s="99" t="str">
        <f>VLOOKUP($B36,STARTOVKA,2,0)</f>
        <v>AUT19960713</v>
      </c>
      <c r="D36" s="100" t="str">
        <f>VLOOKUP($B36,STARTOVKA,3,0)</f>
        <v>PÖPPL Tobias</v>
      </c>
      <c r="E36" s="101" t="str">
        <f>VLOOKUP($B36,STARTOVKA,4,0)</f>
        <v>RC WALDING</v>
      </c>
      <c r="F36" s="102"/>
      <c r="G36" s="102"/>
      <c r="H36" s="102">
        <v>3</v>
      </c>
      <c r="I36" s="120"/>
      <c r="J36" s="120"/>
      <c r="K36" s="102"/>
      <c r="L36" s="120"/>
      <c r="M36" s="120"/>
      <c r="N36" s="120"/>
      <c r="O36" s="102"/>
      <c r="P36" s="102"/>
      <c r="Q36" s="102"/>
      <c r="R36" s="102"/>
      <c r="S36" s="102"/>
      <c r="T36" s="103">
        <f>SUM(F36:S36)</f>
        <v>3</v>
      </c>
      <c r="U36" s="187"/>
      <c r="V36" s="191">
        <f ca="1">VLOOKUP(B36,INDIRECT($V$1),12,0)</f>
        <v>68</v>
      </c>
      <c r="W36" s="127" t="e">
        <f>VLOOKUP(B36,$Z$12:$AA$26,2,0)</f>
        <v>#N/A</v>
      </c>
      <c r="X36" s="191">
        <f ca="1">IFERROR(VLOOKUP(B36,INDIRECT($X$3),1,0),0)</f>
        <v>137</v>
      </c>
      <c r="Z36" s="130"/>
      <c r="AA36" s="130"/>
      <c r="AB36" s="130"/>
      <c r="AC36" s="130"/>
      <c r="AD36" s="130"/>
      <c r="AE36" s="312"/>
      <c r="AF36" s="303"/>
      <c r="AG36" s="303"/>
      <c r="AH36" s="299"/>
      <c r="AI36" s="303"/>
      <c r="AJ36" s="303"/>
      <c r="AK36" s="303"/>
    </row>
    <row r="37" spans="1:37" s="20" customFormat="1" ht="14.1" customHeight="1" x14ac:dyDescent="0.2">
      <c r="A37" s="98">
        <v>26</v>
      </c>
      <c r="B37" s="99">
        <v>132</v>
      </c>
      <c r="C37" s="99" t="str">
        <f>VLOOKUP($B37,STARTOVKA,2,0)</f>
        <v>AUT19961021</v>
      </c>
      <c r="D37" s="100" t="str">
        <f>VLOOKUP($B37,STARTOVKA,3,0)</f>
        <v>KNAPP Daniel</v>
      </c>
      <c r="E37" s="101" t="str">
        <f>VLOOKUP($B37,STARTOVKA,4,0)</f>
        <v>UNION RAIFFEISEN RADTEAM TIROL</v>
      </c>
      <c r="F37" s="102"/>
      <c r="G37" s="102">
        <v>3</v>
      </c>
      <c r="H37" s="102"/>
      <c r="I37" s="120"/>
      <c r="J37" s="120"/>
      <c r="K37" s="102"/>
      <c r="L37" s="120"/>
      <c r="M37" s="120"/>
      <c r="N37" s="120"/>
      <c r="O37" s="102"/>
      <c r="P37" s="102"/>
      <c r="Q37" s="102"/>
      <c r="R37" s="102"/>
      <c r="S37" s="102"/>
      <c r="T37" s="103">
        <f>SUM(F37:S37)</f>
        <v>3</v>
      </c>
      <c r="U37" s="187"/>
      <c r="V37" s="191">
        <f ca="1">VLOOKUP(B37,INDIRECT($V$1),12,0)</f>
        <v>35</v>
      </c>
      <c r="W37" s="127" t="e">
        <f>VLOOKUP(B37,$Z$12:$AA$26,2,0)</f>
        <v>#N/A</v>
      </c>
      <c r="X37" s="191">
        <f ca="1">IFERROR(VLOOKUP(B37,INDIRECT($X$3),1,0),0)</f>
        <v>132</v>
      </c>
      <c r="Z37" s="130"/>
      <c r="AA37" s="130"/>
      <c r="AB37" s="130"/>
      <c r="AC37" s="130"/>
      <c r="AD37" s="130"/>
      <c r="AE37" s="312"/>
      <c r="AF37" s="303"/>
      <c r="AG37" s="303"/>
      <c r="AH37" s="299"/>
      <c r="AI37" s="303"/>
      <c r="AJ37" s="303"/>
      <c r="AK37" s="303"/>
    </row>
    <row r="38" spans="1:37" s="20" customFormat="1" ht="14.1" customHeight="1" x14ac:dyDescent="0.2">
      <c r="A38" s="98">
        <v>27</v>
      </c>
      <c r="B38" s="99">
        <v>172</v>
      </c>
      <c r="C38" s="99" t="str">
        <f>VLOOKUP($B38,STARTOVKA,2,0)</f>
        <v>SVK19971030</v>
      </c>
      <c r="D38" s="100" t="str">
        <f>VLOOKUP($B38,STARTOVKA,3,0)</f>
        <v>ZIMANY Kristian</v>
      </c>
      <c r="E38" s="101" t="str">
        <f>VLOOKUP($B38,STARTOVKA,4,0)</f>
        <v xml:space="preserve">SLOVAK CYCLING FEDERATION </v>
      </c>
      <c r="F38" s="102"/>
      <c r="G38" s="102"/>
      <c r="H38" s="102"/>
      <c r="I38" s="120"/>
      <c r="J38" s="120"/>
      <c r="K38" s="102"/>
      <c r="L38" s="120"/>
      <c r="M38" s="120"/>
      <c r="N38" s="120"/>
      <c r="O38" s="102">
        <v>3</v>
      </c>
      <c r="P38" s="102"/>
      <c r="Q38" s="102"/>
      <c r="R38" s="102"/>
      <c r="S38" s="102"/>
      <c r="T38" s="103">
        <f>SUM(F38:S38)</f>
        <v>3</v>
      </c>
      <c r="U38" s="187"/>
      <c r="V38" s="191">
        <f ca="1">VLOOKUP(B38,INDIRECT($V$1),12,0)</f>
        <v>14</v>
      </c>
      <c r="W38" s="127">
        <f>VLOOKUP(B38,$Z$12:$AA$26,2,0)</f>
        <v>3</v>
      </c>
      <c r="X38" s="191">
        <f ca="1">IFERROR(VLOOKUP(B38,INDIRECT($X$3),1,0),0)</f>
        <v>172</v>
      </c>
      <c r="Z38" s="130"/>
      <c r="AA38" s="130"/>
      <c r="AB38" s="130"/>
      <c r="AC38" s="130"/>
      <c r="AD38" s="130"/>
      <c r="AE38" s="312"/>
      <c r="AF38" s="303"/>
      <c r="AG38" s="303"/>
      <c r="AH38" s="299"/>
      <c r="AI38" s="303"/>
      <c r="AJ38" s="303"/>
      <c r="AK38" s="303"/>
    </row>
    <row r="39" spans="1:37" s="20" customFormat="1" ht="14.1" customHeight="1" x14ac:dyDescent="0.2">
      <c r="A39" s="98">
        <v>28</v>
      </c>
      <c r="B39" s="99">
        <v>41</v>
      </c>
      <c r="C39" s="99" t="str">
        <f>VLOOKUP($B39,STARTOVKA,2,0)</f>
        <v>CZE19960310</v>
      </c>
      <c r="D39" s="100" t="str">
        <f>VLOOKUP($B39,STARTOVKA,3,0)</f>
        <v xml:space="preserve">ŠULC Jakub </v>
      </c>
      <c r="E39" s="101" t="str">
        <f>VLOOKUP($B39,STARTOVKA,4,0)</f>
        <v xml:space="preserve">KOLA-BBM.CZ </v>
      </c>
      <c r="F39" s="102"/>
      <c r="G39" s="102"/>
      <c r="H39" s="102"/>
      <c r="I39" s="120"/>
      <c r="J39" s="120"/>
      <c r="K39" s="102"/>
      <c r="L39" s="120"/>
      <c r="M39" s="120"/>
      <c r="N39" s="120"/>
      <c r="O39" s="102">
        <v>2</v>
      </c>
      <c r="P39" s="102"/>
      <c r="Q39" s="102"/>
      <c r="R39" s="102"/>
      <c r="S39" s="102"/>
      <c r="T39" s="103">
        <f>SUM(F39:S39)</f>
        <v>2</v>
      </c>
      <c r="U39" s="187"/>
      <c r="V39" s="191">
        <f ca="1">VLOOKUP(B39,INDIRECT($V$1),12,0)</f>
        <v>11</v>
      </c>
      <c r="W39" s="127">
        <f>VLOOKUP(B39,$Z$12:$AA$26,2,0)</f>
        <v>2</v>
      </c>
      <c r="X39" s="191">
        <f ca="1">IFERROR(VLOOKUP(B39,INDIRECT($X$3),1,0),0)</f>
        <v>41</v>
      </c>
      <c r="Z39" s="130"/>
      <c r="AA39" s="130"/>
      <c r="AB39" s="130"/>
      <c r="AC39" s="130"/>
      <c r="AD39" s="130"/>
      <c r="AE39" s="312"/>
      <c r="AF39" s="303"/>
      <c r="AG39" s="303"/>
      <c r="AH39" s="303"/>
      <c r="AI39" s="303"/>
      <c r="AJ39" s="303"/>
      <c r="AK39" s="303"/>
    </row>
    <row r="40" spans="1:37" s="20" customFormat="1" ht="14.1" customHeight="1" x14ac:dyDescent="0.2">
      <c r="A40" s="98">
        <v>29</v>
      </c>
      <c r="B40" s="99">
        <v>166</v>
      </c>
      <c r="C40" s="99" t="str">
        <f>VLOOKUP($B40,STARTOVKA,2,0)</f>
        <v>RUS19960101</v>
      </c>
      <c r="D40" s="100" t="str">
        <f>VLOOKUP($B40,STARTOVKA,3,0)</f>
        <v xml:space="preserve">BEZDENEZHNYKH Vadim </v>
      </c>
      <c r="E40" s="101" t="str">
        <f>VLOOKUP($B40,STARTOVKA,4,0)</f>
        <v>RUSSIAN CYCLING FEDERATION</v>
      </c>
      <c r="F40" s="102"/>
      <c r="G40" s="102"/>
      <c r="H40" s="102"/>
      <c r="I40" s="120"/>
      <c r="J40" s="120"/>
      <c r="K40" s="102">
        <v>1</v>
      </c>
      <c r="L40" s="120"/>
      <c r="M40" s="120"/>
      <c r="N40" s="120"/>
      <c r="O40" s="102"/>
      <c r="P40" s="102"/>
      <c r="Q40" s="102"/>
      <c r="R40" s="102"/>
      <c r="S40" s="102"/>
      <c r="T40" s="103">
        <f>SUM(F40:S40)</f>
        <v>1</v>
      </c>
      <c r="U40" s="187"/>
      <c r="V40" s="191">
        <f ca="1">VLOOKUP(B40,INDIRECT($V$1),12,0)</f>
        <v>16</v>
      </c>
      <c r="W40" s="127" t="e">
        <f>VLOOKUP(B40,$Z$12:$AA$26,2,0)</f>
        <v>#N/A</v>
      </c>
      <c r="X40" s="191">
        <f ca="1">IFERROR(VLOOKUP(B40,INDIRECT($X$3),1,0),0)</f>
        <v>166</v>
      </c>
      <c r="Z40" s="130"/>
      <c r="AA40" s="130"/>
      <c r="AB40" s="130"/>
      <c r="AC40" s="130"/>
      <c r="AD40" s="130"/>
      <c r="AE40" s="312"/>
      <c r="AF40" s="303"/>
      <c r="AG40" s="303"/>
      <c r="AH40" s="303"/>
      <c r="AI40" s="303"/>
      <c r="AJ40" s="303"/>
      <c r="AK40" s="303"/>
    </row>
    <row r="41" spans="1:37" s="20" customFormat="1" ht="14.1" customHeight="1" x14ac:dyDescent="0.2">
      <c r="A41" s="98">
        <v>30</v>
      </c>
      <c r="B41" s="99">
        <v>85</v>
      </c>
      <c r="C41" s="99" t="str">
        <f>VLOOKUP($B41,STARTOVKA,2,0)</f>
        <v>CZE19970804</v>
      </c>
      <c r="D41" s="100" t="str">
        <f>VLOOKUP($B41,STARTOVKA,3,0)</f>
        <v xml:space="preserve">SPUDIL Martin </v>
      </c>
      <c r="E41" s="101" t="str">
        <f>VLOOKUP($B41,STARTOVKA,4,0)</f>
        <v xml:space="preserve">SP KOLO LOAP SPECIALIZED </v>
      </c>
      <c r="F41" s="102"/>
      <c r="G41" s="102"/>
      <c r="H41" s="102">
        <v>1</v>
      </c>
      <c r="I41" s="120"/>
      <c r="J41" s="120"/>
      <c r="K41" s="102"/>
      <c r="L41" s="120"/>
      <c r="M41" s="120"/>
      <c r="N41" s="120"/>
      <c r="O41" s="102"/>
      <c r="P41" s="102"/>
      <c r="Q41" s="102"/>
      <c r="R41" s="102"/>
      <c r="S41" s="102"/>
      <c r="T41" s="103">
        <f>SUM(F41:S41)</f>
        <v>1</v>
      </c>
      <c r="U41" s="187"/>
      <c r="V41" s="191">
        <f ca="1">VLOOKUP(B41,INDIRECT($V$1),12,0)</f>
        <v>40</v>
      </c>
      <c r="W41" s="127" t="e">
        <f>VLOOKUP(B41,$Z$12:$AA$26,2,0)</f>
        <v>#N/A</v>
      </c>
      <c r="X41" s="191">
        <f ca="1">IFERROR(VLOOKUP(B41,INDIRECT($X$3),1,0),0)</f>
        <v>85</v>
      </c>
      <c r="Z41" s="130"/>
      <c r="AA41" s="130"/>
      <c r="AB41" s="130"/>
      <c r="AC41" s="130"/>
      <c r="AD41" s="130"/>
      <c r="AE41" s="312"/>
      <c r="AF41" s="303"/>
      <c r="AG41" s="303"/>
      <c r="AH41" s="303"/>
      <c r="AI41" s="303"/>
      <c r="AJ41" s="303"/>
      <c r="AK41" s="303"/>
    </row>
    <row r="42" spans="1:37" s="20" customFormat="1" ht="14.1" customHeight="1" x14ac:dyDescent="0.2">
      <c r="A42" s="98">
        <v>31</v>
      </c>
      <c r="B42" s="99">
        <v>12</v>
      </c>
      <c r="C42" s="99" t="str">
        <f>VLOOKUP($B42,STARTOVKA,2,0)</f>
        <v>GER19960405</v>
      </c>
      <c r="D42" s="100" t="str">
        <f>VLOOKUP($B42,STARTOVKA,3,0)</f>
        <v>WITTE Reinhard</v>
      </c>
      <c r="E42" s="101" t="str">
        <f>VLOOKUP($B42,STARTOVKA,4,0)</f>
        <v>JUNIOREN SCHWALBE TEAM SACHSEN</v>
      </c>
      <c r="F42" s="102"/>
      <c r="G42" s="102">
        <v>1</v>
      </c>
      <c r="H42" s="102"/>
      <c r="I42" s="120"/>
      <c r="J42" s="120"/>
      <c r="K42" s="102"/>
      <c r="L42" s="120"/>
      <c r="M42" s="120"/>
      <c r="N42" s="120"/>
      <c r="O42" s="102"/>
      <c r="P42" s="102"/>
      <c r="Q42" s="102"/>
      <c r="R42" s="102"/>
      <c r="S42" s="102"/>
      <c r="T42" s="103">
        <f>SUM(F42:S42)</f>
        <v>1</v>
      </c>
      <c r="U42" s="187"/>
      <c r="V42" s="191">
        <f ca="1">VLOOKUP(B42,INDIRECT($V$1),12,0)</f>
        <v>51</v>
      </c>
      <c r="W42" s="127" t="e">
        <f>VLOOKUP(B42,$Z$12:$AA$26,2,0)</f>
        <v>#N/A</v>
      </c>
      <c r="X42" s="191">
        <f ca="1">IFERROR(VLOOKUP(B42,INDIRECT($X$3),1,0),0)</f>
        <v>12</v>
      </c>
      <c r="Z42" s="130"/>
      <c r="AA42" s="130"/>
      <c r="AB42" s="130"/>
      <c r="AC42" s="130"/>
      <c r="AD42" s="130"/>
      <c r="AE42" s="312"/>
      <c r="AF42" s="303"/>
      <c r="AG42" s="303"/>
      <c r="AH42" s="303"/>
      <c r="AI42" s="303"/>
      <c r="AJ42" s="303"/>
      <c r="AK42" s="303"/>
    </row>
    <row r="43" spans="1:37" s="20" customFormat="1" ht="14.1" hidden="1" customHeight="1" outlineLevel="1" x14ac:dyDescent="0.2">
      <c r="A43" s="98">
        <v>32</v>
      </c>
      <c r="B43" s="99"/>
      <c r="C43" s="99" t="e">
        <f t="shared" ref="C12:C47" si="1">VLOOKUP($B43,STARTOVKA,2,0)</f>
        <v>#N/A</v>
      </c>
      <c r="D43" s="100" t="e">
        <f t="shared" ref="D12:D47" si="2">VLOOKUP($B43,STARTOVKA,3,0)</f>
        <v>#N/A</v>
      </c>
      <c r="E43" s="101" t="e">
        <f t="shared" ref="E12:E47" si="3">VLOOKUP($B43,STARTOVKA,4,0)</f>
        <v>#N/A</v>
      </c>
      <c r="F43" s="102"/>
      <c r="G43" s="102"/>
      <c r="H43" s="102"/>
      <c r="I43" s="120"/>
      <c r="J43" s="120"/>
      <c r="K43" s="102"/>
      <c r="L43" s="120"/>
      <c r="M43" s="120"/>
      <c r="N43" s="120"/>
      <c r="O43" s="102"/>
      <c r="P43" s="102"/>
      <c r="Q43" s="102"/>
      <c r="R43" s="102"/>
      <c r="S43" s="102"/>
      <c r="T43" s="103">
        <f>SUM(F43:S43)</f>
        <v>0</v>
      </c>
      <c r="U43" s="187"/>
      <c r="V43" s="191" t="e">
        <f ca="1">VLOOKUP(B43,INDIRECT($V$1),12,0)</f>
        <v>#N/A</v>
      </c>
      <c r="W43" s="127" t="e">
        <f>VLOOKUP(B43,$Z$12:$AA$26,2,0)</f>
        <v>#N/A</v>
      </c>
      <c r="X43" s="191">
        <f ca="1">IFERROR(VLOOKUP(B43,INDIRECT($X$3),1,0),0)</f>
        <v>0</v>
      </c>
      <c r="Z43" s="130"/>
      <c r="AA43" s="130"/>
      <c r="AB43" s="130"/>
      <c r="AC43" s="130"/>
      <c r="AD43" s="130"/>
      <c r="AE43" s="312"/>
      <c r="AF43" s="303"/>
      <c r="AG43" s="303"/>
      <c r="AH43" s="303"/>
      <c r="AI43" s="303"/>
      <c r="AJ43" s="303"/>
      <c r="AK43" s="303"/>
    </row>
    <row r="44" spans="1:37" s="20" customFormat="1" ht="14.1" hidden="1" customHeight="1" outlineLevel="1" x14ac:dyDescent="0.2">
      <c r="A44" s="98">
        <v>33</v>
      </c>
      <c r="B44" s="99"/>
      <c r="C44" s="99" t="e">
        <f t="shared" si="1"/>
        <v>#N/A</v>
      </c>
      <c r="D44" s="100" t="e">
        <f t="shared" si="2"/>
        <v>#N/A</v>
      </c>
      <c r="E44" s="101" t="e">
        <f t="shared" si="3"/>
        <v>#N/A</v>
      </c>
      <c r="F44" s="102"/>
      <c r="G44" s="102"/>
      <c r="H44" s="102"/>
      <c r="I44" s="120"/>
      <c r="J44" s="120"/>
      <c r="K44" s="102"/>
      <c r="L44" s="120"/>
      <c r="M44" s="120"/>
      <c r="N44" s="120"/>
      <c r="O44" s="102"/>
      <c r="P44" s="102"/>
      <c r="Q44" s="102"/>
      <c r="R44" s="102"/>
      <c r="S44" s="102"/>
      <c r="T44" s="103">
        <f>SUM(F44:S44)</f>
        <v>0</v>
      </c>
      <c r="U44" s="187"/>
      <c r="V44" s="191" t="e">
        <f ca="1">VLOOKUP(B44,INDIRECT($V$1),12,0)</f>
        <v>#N/A</v>
      </c>
      <c r="W44" s="127" t="e">
        <f>VLOOKUP(B44,$Z$12:$AA$26,2,0)</f>
        <v>#N/A</v>
      </c>
      <c r="X44" s="191">
        <f ca="1">IFERROR(VLOOKUP(B44,INDIRECT($X$3),1,0),0)</f>
        <v>0</v>
      </c>
      <c r="Z44" s="130"/>
      <c r="AA44" s="130"/>
      <c r="AB44" s="130"/>
      <c r="AC44" s="130"/>
      <c r="AD44" s="130"/>
      <c r="AE44" s="312"/>
      <c r="AF44" s="303"/>
      <c r="AG44" s="303"/>
      <c r="AH44" s="303"/>
      <c r="AI44" s="303"/>
      <c r="AJ44" s="303"/>
      <c r="AK44" s="303"/>
    </row>
    <row r="45" spans="1:37" s="20" customFormat="1" ht="14.1" hidden="1" customHeight="1" outlineLevel="1" x14ac:dyDescent="0.2">
      <c r="A45" s="98">
        <v>34</v>
      </c>
      <c r="B45" s="99"/>
      <c r="C45" s="99" t="e">
        <f t="shared" si="1"/>
        <v>#N/A</v>
      </c>
      <c r="D45" s="100" t="e">
        <f t="shared" si="2"/>
        <v>#N/A</v>
      </c>
      <c r="E45" s="101" t="e">
        <f t="shared" si="3"/>
        <v>#N/A</v>
      </c>
      <c r="F45" s="102"/>
      <c r="G45" s="102"/>
      <c r="H45" s="102"/>
      <c r="I45" s="120"/>
      <c r="J45" s="120"/>
      <c r="K45" s="102"/>
      <c r="L45" s="120"/>
      <c r="M45" s="120"/>
      <c r="N45" s="120"/>
      <c r="O45" s="102"/>
      <c r="P45" s="102"/>
      <c r="Q45" s="102"/>
      <c r="R45" s="102"/>
      <c r="S45" s="102"/>
      <c r="T45" s="103">
        <f>SUM(F45:S45)</f>
        <v>0</v>
      </c>
      <c r="U45" s="187"/>
      <c r="V45" s="191" t="e">
        <f ca="1">VLOOKUP(B45,INDIRECT($V$1),12,0)</f>
        <v>#N/A</v>
      </c>
      <c r="W45" s="127" t="e">
        <f>VLOOKUP(B45,$Z$12:$AA$26,2,0)</f>
        <v>#N/A</v>
      </c>
      <c r="X45" s="191">
        <f ca="1">IFERROR(VLOOKUP(B45,INDIRECT($X$3),1,0),0)</f>
        <v>0</v>
      </c>
      <c r="Z45" s="130"/>
      <c r="AA45" s="130"/>
      <c r="AB45" s="130"/>
      <c r="AC45" s="130"/>
      <c r="AD45" s="130"/>
      <c r="AE45" s="312"/>
      <c r="AF45" s="303"/>
      <c r="AG45" s="303"/>
      <c r="AH45" s="303"/>
      <c r="AI45" s="303"/>
      <c r="AJ45" s="303"/>
      <c r="AK45" s="303"/>
    </row>
    <row r="46" spans="1:37" s="20" customFormat="1" ht="14.1" hidden="1" customHeight="1" outlineLevel="1" x14ac:dyDescent="0.2">
      <c r="A46" s="98">
        <v>35</v>
      </c>
      <c r="B46" s="99"/>
      <c r="C46" s="99" t="e">
        <f t="shared" si="1"/>
        <v>#N/A</v>
      </c>
      <c r="D46" s="100" t="e">
        <f t="shared" si="2"/>
        <v>#N/A</v>
      </c>
      <c r="E46" s="101" t="e">
        <f t="shared" si="3"/>
        <v>#N/A</v>
      </c>
      <c r="F46" s="102"/>
      <c r="G46" s="102"/>
      <c r="H46" s="102"/>
      <c r="I46" s="120"/>
      <c r="J46" s="120"/>
      <c r="K46" s="102"/>
      <c r="L46" s="120"/>
      <c r="M46" s="120"/>
      <c r="N46" s="120"/>
      <c r="O46" s="102"/>
      <c r="P46" s="102"/>
      <c r="Q46" s="102"/>
      <c r="R46" s="102"/>
      <c r="S46" s="102"/>
      <c r="T46" s="103">
        <f>SUM(F46:S46)</f>
        <v>0</v>
      </c>
      <c r="U46" s="187"/>
      <c r="V46" s="191" t="e">
        <f ca="1">VLOOKUP(B46,INDIRECT($V$1),12,0)</f>
        <v>#N/A</v>
      </c>
      <c r="W46" s="127" t="e">
        <f>VLOOKUP(B46,$Z$12:$AA$26,2,0)</f>
        <v>#N/A</v>
      </c>
      <c r="X46" s="191">
        <f ca="1">IFERROR(VLOOKUP(B46,INDIRECT($X$3),1,0),0)</f>
        <v>0</v>
      </c>
      <c r="Z46" s="130"/>
      <c r="AA46" s="130"/>
      <c r="AB46" s="130"/>
      <c r="AC46" s="130"/>
      <c r="AD46" s="130"/>
      <c r="AE46" s="312"/>
      <c r="AF46" s="303"/>
      <c r="AG46" s="303"/>
      <c r="AH46" s="303"/>
      <c r="AI46" s="303"/>
      <c r="AJ46" s="303"/>
      <c r="AK46" s="303"/>
    </row>
    <row r="47" spans="1:37" s="20" customFormat="1" ht="14.1" hidden="1" customHeight="1" outlineLevel="1" x14ac:dyDescent="0.2">
      <c r="A47" s="98">
        <v>36</v>
      </c>
      <c r="B47" s="99"/>
      <c r="C47" s="99" t="e">
        <f t="shared" si="1"/>
        <v>#N/A</v>
      </c>
      <c r="D47" s="100" t="e">
        <f t="shared" si="2"/>
        <v>#N/A</v>
      </c>
      <c r="E47" s="101" t="e">
        <f t="shared" si="3"/>
        <v>#N/A</v>
      </c>
      <c r="F47" s="102"/>
      <c r="G47" s="102"/>
      <c r="H47" s="102"/>
      <c r="I47" s="120"/>
      <c r="J47" s="120"/>
      <c r="K47" s="102"/>
      <c r="L47" s="120"/>
      <c r="M47" s="120"/>
      <c r="N47" s="120"/>
      <c r="O47" s="102"/>
      <c r="P47" s="102"/>
      <c r="Q47" s="102"/>
      <c r="R47" s="102"/>
      <c r="S47" s="102"/>
      <c r="T47" s="103">
        <f>SUM(F47:S47)</f>
        <v>0</v>
      </c>
      <c r="U47" s="187"/>
      <c r="V47" s="191" t="e">
        <f ca="1">VLOOKUP(B47,INDIRECT($V$1),12,0)</f>
        <v>#N/A</v>
      </c>
      <c r="W47" s="127" t="e">
        <f>VLOOKUP(B47,$Z$12:$AA$26,2,0)</f>
        <v>#N/A</v>
      </c>
      <c r="X47" s="191">
        <f ca="1">IFERROR(VLOOKUP(B47,INDIRECT($X$3),1,0),0)</f>
        <v>0</v>
      </c>
      <c r="Z47" s="130"/>
      <c r="AA47" s="130"/>
      <c r="AB47" s="130"/>
      <c r="AC47" s="130"/>
      <c r="AD47" s="130"/>
      <c r="AE47" s="312"/>
      <c r="AF47" s="303"/>
      <c r="AG47" s="303"/>
      <c r="AH47" s="303"/>
      <c r="AI47" s="303"/>
      <c r="AJ47" s="303"/>
      <c r="AK47" s="303"/>
    </row>
    <row r="48" spans="1:37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88"/>
      <c r="V48" s="90"/>
      <c r="W48" s="123"/>
      <c r="X48" s="123"/>
      <c r="Y48" s="123"/>
      <c r="Z48" s="130"/>
      <c r="AA48" s="130"/>
      <c r="AB48" s="130"/>
      <c r="AC48" s="130"/>
      <c r="AD48" s="130"/>
      <c r="AE48" s="312"/>
      <c r="AF48" s="303"/>
      <c r="AG48" s="303"/>
      <c r="AH48" s="303"/>
      <c r="AI48" s="303"/>
      <c r="AJ48" s="303"/>
      <c r="AK48" s="303"/>
    </row>
    <row r="49" spans="1:39" ht="9.75" customHeight="1" thickBot="1" x14ac:dyDescent="0.25">
      <c r="Z49" s="130"/>
      <c r="AA49" s="130"/>
      <c r="AB49" s="130"/>
      <c r="AC49" s="130"/>
      <c r="AD49" s="130"/>
      <c r="AE49" s="17"/>
    </row>
    <row r="50" spans="1:39" ht="44.1" customHeight="1" x14ac:dyDescent="0.2">
      <c r="A50" s="278" t="s">
        <v>136</v>
      </c>
      <c r="B50" s="278"/>
      <c r="C50" s="278"/>
      <c r="D50" s="278"/>
      <c r="E50" s="278"/>
      <c r="F50" s="268" t="s">
        <v>612</v>
      </c>
      <c r="G50" s="268" t="s">
        <v>613</v>
      </c>
      <c r="H50" s="279" t="s">
        <v>614</v>
      </c>
      <c r="I50" s="291"/>
      <c r="J50" s="293"/>
      <c r="K50" s="295"/>
      <c r="L50" s="272" t="s">
        <v>607</v>
      </c>
      <c r="M50" s="268" t="s">
        <v>608</v>
      </c>
      <c r="N50" s="268" t="s">
        <v>627</v>
      </c>
      <c r="O50" s="270" t="s">
        <v>628</v>
      </c>
      <c r="P50" s="272" t="s">
        <v>611</v>
      </c>
      <c r="Q50" s="268" t="s">
        <v>615</v>
      </c>
      <c r="R50" s="268" t="s">
        <v>616</v>
      </c>
      <c r="S50" s="268" t="s">
        <v>617</v>
      </c>
      <c r="T50" s="245"/>
      <c r="U50" s="185"/>
      <c r="V50" s="125" t="s">
        <v>118</v>
      </c>
      <c r="W50" s="125"/>
      <c r="X50" s="125" t="s">
        <v>110</v>
      </c>
      <c r="Z50" s="130"/>
      <c r="AA50" s="130"/>
      <c r="AB50" s="130"/>
      <c r="AC50" s="130"/>
      <c r="AD50" s="130"/>
      <c r="AE50" s="17"/>
    </row>
    <row r="51" spans="1:39" ht="18.95" customHeight="1" x14ac:dyDescent="0.2">
      <c r="A51" s="106"/>
      <c r="B51" s="274"/>
      <c r="C51" s="275"/>
      <c r="D51" s="275"/>
      <c r="E51" s="275"/>
      <c r="F51" s="269"/>
      <c r="G51" s="269"/>
      <c r="H51" s="280"/>
      <c r="I51" s="292"/>
      <c r="J51" s="294"/>
      <c r="K51" s="296"/>
      <c r="L51" s="273"/>
      <c r="M51" s="269"/>
      <c r="N51" s="269"/>
      <c r="O51" s="271"/>
      <c r="P51" s="273"/>
      <c r="Q51" s="269"/>
      <c r="R51" s="269"/>
      <c r="S51" s="269"/>
      <c r="T51" s="107"/>
      <c r="U51" s="186"/>
      <c r="Z51" s="130"/>
      <c r="AA51" s="303"/>
      <c r="AB51" s="130"/>
      <c r="AC51" s="130"/>
      <c r="AD51" s="130"/>
      <c r="AE51" s="17"/>
      <c r="AM51" s="302"/>
    </row>
    <row r="52" spans="1:39" ht="14.1" customHeight="1" x14ac:dyDescent="0.2">
      <c r="A52" s="108">
        <v>1</v>
      </c>
      <c r="B52" s="16">
        <v>2</v>
      </c>
      <c r="C52" s="99" t="str">
        <f>VLOOKUP($B52,STARTOVKA,2,0)</f>
        <v>GER19960829</v>
      </c>
      <c r="D52" s="100" t="str">
        <f>VLOOKUP($B52,STARTOVKA,3,0)</f>
        <v>SCHUCHMANN Franz-Leon</v>
      </c>
      <c r="E52" s="101" t="str">
        <f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>
        <v>2</v>
      </c>
      <c r="M52" s="227">
        <v>1</v>
      </c>
      <c r="N52" s="227"/>
      <c r="O52" s="227"/>
      <c r="P52" s="227"/>
      <c r="Q52" s="227"/>
      <c r="R52" s="227"/>
      <c r="S52" s="227"/>
      <c r="T52" s="103">
        <f>SUM(F52:S52)</f>
        <v>16</v>
      </c>
      <c r="U52" s="187"/>
      <c r="V52" s="191">
        <f ca="1">VLOOKUP(B52,INDIRECT($V$1),12,0)</f>
        <v>15</v>
      </c>
      <c r="W52" s="127"/>
      <c r="X52" s="191">
        <f ca="1">IFERROR(VLOOKUP(B52,INDIRECT($X$3),1,0),0)</f>
        <v>2</v>
      </c>
      <c r="Z52" s="130"/>
      <c r="AA52" s="299"/>
      <c r="AB52" s="130"/>
      <c r="AC52" s="130"/>
      <c r="AD52" s="130"/>
      <c r="AE52" s="17"/>
      <c r="AF52" s="304" t="s">
        <v>89</v>
      </c>
      <c r="AG52" s="304"/>
      <c r="AM52" s="299"/>
    </row>
    <row r="53" spans="1:39" ht="14.1" customHeight="1" x14ac:dyDescent="0.2">
      <c r="A53" s="108">
        <v>2</v>
      </c>
      <c r="B53" s="16">
        <v>172</v>
      </c>
      <c r="C53" s="99" t="str">
        <f>VLOOKUP($B53,STARTOVKA,2,0)</f>
        <v>SVK19971030</v>
      </c>
      <c r="D53" s="100" t="str">
        <f>VLOOKUP($B53,STARTOVKA,3,0)</f>
        <v>ZIMANY Kristian</v>
      </c>
      <c r="E53" s="101" t="str">
        <f>VLOOKUP($B53,STARTOVKA,4,0)</f>
        <v xml:space="preserve">SLOVAK CYCLING FEDERATION </v>
      </c>
      <c r="F53" s="102"/>
      <c r="G53" s="102"/>
      <c r="H53" s="102"/>
      <c r="I53" s="120"/>
      <c r="J53" s="120"/>
      <c r="K53" s="120"/>
      <c r="L53" s="227"/>
      <c r="M53" s="227">
        <v>3</v>
      </c>
      <c r="N53" s="227">
        <v>5</v>
      </c>
      <c r="O53" s="227">
        <v>3</v>
      </c>
      <c r="P53" s="227"/>
      <c r="Q53" s="227"/>
      <c r="R53" s="227"/>
      <c r="S53" s="227"/>
      <c r="T53" s="103">
        <f>SUM(F53:S53)</f>
        <v>11</v>
      </c>
      <c r="U53" s="187"/>
      <c r="V53" s="191">
        <f ca="1">VLOOKUP(B53,INDIRECT($V$1),12,0)</f>
        <v>14</v>
      </c>
      <c r="W53" s="127"/>
      <c r="X53" s="191">
        <f ca="1">IFERROR(VLOOKUP(B53,INDIRECT($X$3),1,0),0)</f>
        <v>172</v>
      </c>
      <c r="Z53" s="130"/>
      <c r="AA53" s="299"/>
      <c r="AB53" s="130"/>
      <c r="AC53" s="130"/>
      <c r="AD53" s="130"/>
      <c r="AE53" s="17"/>
      <c r="AF53" s="305"/>
      <c r="AG53" s="305" t="s">
        <v>90</v>
      </c>
      <c r="AM53" s="299"/>
    </row>
    <row r="54" spans="1:39" ht="14.1" customHeight="1" x14ac:dyDescent="0.2">
      <c r="A54" s="108">
        <v>3</v>
      </c>
      <c r="B54" s="16">
        <v>143</v>
      </c>
      <c r="C54" s="99" t="str">
        <f>VLOOKUP($B54,STARTOVKA,2,0)</f>
        <v>CZE19960606</v>
      </c>
      <c r="D54" s="100" t="str">
        <f>VLOOKUP($B54,STARTOVKA,3,0)</f>
        <v xml:space="preserve">KOVÁŘ Jan </v>
      </c>
      <c r="E54" s="101" t="str">
        <f>VLOOKUP($B54,STARTOVKA,4,0)</f>
        <v xml:space="preserve">MAPEI CYKLO KAŇKOVSKÝ </v>
      </c>
      <c r="F54" s="102">
        <v>3</v>
      </c>
      <c r="G54" s="102">
        <v>2</v>
      </c>
      <c r="H54" s="102">
        <v>3</v>
      </c>
      <c r="I54" s="120"/>
      <c r="J54" s="120"/>
      <c r="K54" s="120"/>
      <c r="L54" s="227">
        <v>3</v>
      </c>
      <c r="M54" s="227"/>
      <c r="N54" s="227"/>
      <c r="O54" s="227"/>
      <c r="P54" s="227"/>
      <c r="Q54" s="227"/>
      <c r="R54" s="227"/>
      <c r="S54" s="227"/>
      <c r="T54" s="103">
        <f>SUM(F54:S54)</f>
        <v>11</v>
      </c>
      <c r="U54" s="187"/>
      <c r="V54" s="191">
        <f ca="1">VLOOKUP(B54,INDIRECT($V$1),12,0)</f>
        <v>72</v>
      </c>
      <c r="W54" s="127"/>
      <c r="X54" s="191">
        <f ca="1">IFERROR(VLOOKUP(B54,INDIRECT($X$3),1,0),0)</f>
        <v>143</v>
      </c>
      <c r="Z54" s="130"/>
      <c r="AA54" s="299"/>
      <c r="AB54" s="130"/>
      <c r="AC54" s="130"/>
      <c r="AD54" s="130"/>
      <c r="AE54" s="17"/>
      <c r="AF54" s="305"/>
      <c r="AG54" s="305" t="s">
        <v>88</v>
      </c>
      <c r="AM54" s="299"/>
    </row>
    <row r="55" spans="1:39" ht="14.1" customHeight="1" x14ac:dyDescent="0.2">
      <c r="A55" s="108">
        <v>4</v>
      </c>
      <c r="B55" s="16">
        <v>12</v>
      </c>
      <c r="C55" s="99" t="str">
        <f>VLOOKUP($B55,STARTOVKA,2,0)</f>
        <v>GER19960405</v>
      </c>
      <c r="D55" s="100" t="str">
        <f>VLOOKUP($B55,STARTOVKA,3,0)</f>
        <v>WITTE Reinhard</v>
      </c>
      <c r="E55" s="101" t="str">
        <f>VLOOKUP($B55,STARTOVKA,4,0)</f>
        <v>JUNIOREN SCHWALBE TEAM SACHSEN</v>
      </c>
      <c r="F55" s="102"/>
      <c r="G55" s="102">
        <v>5</v>
      </c>
      <c r="H55" s="102">
        <v>2</v>
      </c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227"/>
      <c r="T55" s="103">
        <f>SUM(F55:S55)</f>
        <v>7</v>
      </c>
      <c r="U55" s="187"/>
      <c r="V55" s="191">
        <f ca="1">VLOOKUP(B55,INDIRECT($V$1),12,0)</f>
        <v>51</v>
      </c>
      <c r="W55" s="127"/>
      <c r="X55" s="191">
        <f ca="1">IFERROR(VLOOKUP(B55,INDIRECT($X$3),1,0),0)</f>
        <v>12</v>
      </c>
      <c r="Z55" s="130"/>
      <c r="AA55" s="299"/>
      <c r="AB55" s="130"/>
      <c r="AC55" s="130"/>
      <c r="AD55" s="130"/>
      <c r="AE55" s="17"/>
      <c r="AM55" s="299"/>
    </row>
    <row r="56" spans="1:39" ht="14.1" customHeight="1" x14ac:dyDescent="0.2">
      <c r="A56" s="108">
        <v>5</v>
      </c>
      <c r="B56" s="16">
        <v>115</v>
      </c>
      <c r="C56" s="99" t="str">
        <f>VLOOKUP($B56,STARTOVKA,2,0)</f>
        <v>GER19961029</v>
      </c>
      <c r="D56" s="100" t="str">
        <f>VLOOKUP($B56,STARTOVKA,3,0)</f>
        <v>KOCH Chrisitan</v>
      </c>
      <c r="E56" s="101" t="str">
        <f>VLOOKUP($B56,STARTOVKA,4,0)</f>
        <v>TEAM BRANDENBURG - RSC COTTBUS</v>
      </c>
      <c r="F56" s="102"/>
      <c r="G56" s="102"/>
      <c r="H56" s="102"/>
      <c r="I56" s="120"/>
      <c r="J56" s="120"/>
      <c r="K56" s="120"/>
      <c r="L56" s="227"/>
      <c r="M56" s="227"/>
      <c r="N56" s="227">
        <v>2</v>
      </c>
      <c r="O56" s="227">
        <v>5</v>
      </c>
      <c r="P56" s="227"/>
      <c r="Q56" s="227"/>
      <c r="R56" s="227"/>
      <c r="S56" s="227"/>
      <c r="T56" s="103">
        <f>SUM(F56:S56)</f>
        <v>7</v>
      </c>
      <c r="U56" s="187"/>
      <c r="V56" s="191">
        <f ca="1">VLOOKUP(B56,INDIRECT($V$1),12,0)</f>
        <v>2</v>
      </c>
      <c r="W56" s="127"/>
      <c r="X56" s="191">
        <f ca="1">IFERROR(VLOOKUP(B56,INDIRECT($X$3),1,0),0)</f>
        <v>115</v>
      </c>
      <c r="Z56" s="130"/>
      <c r="AA56" s="303"/>
      <c r="AB56" s="130"/>
      <c r="AC56" s="130"/>
      <c r="AD56" s="130"/>
      <c r="AE56" s="17"/>
      <c r="AM56" s="302"/>
    </row>
    <row r="57" spans="1:39" ht="14.1" customHeight="1" x14ac:dyDescent="0.2">
      <c r="A57" s="108">
        <v>6</v>
      </c>
      <c r="B57" s="16">
        <v>41</v>
      </c>
      <c r="C57" s="99" t="str">
        <f>VLOOKUP($B57,STARTOVKA,2,0)</f>
        <v>CZE19960310</v>
      </c>
      <c r="D57" s="100" t="str">
        <f>VLOOKUP($B57,STARTOVKA,3,0)</f>
        <v xml:space="preserve">ŠULC Jakub </v>
      </c>
      <c r="E57" s="101" t="str">
        <f>VLOOKUP($B57,STARTOVKA,4,0)</f>
        <v xml:space="preserve">KOLA-BBM.CZ </v>
      </c>
      <c r="F57" s="102"/>
      <c r="G57" s="102"/>
      <c r="H57" s="102"/>
      <c r="I57" s="120"/>
      <c r="J57" s="120"/>
      <c r="K57" s="120"/>
      <c r="L57" s="227"/>
      <c r="M57" s="227">
        <v>2</v>
      </c>
      <c r="N57" s="227">
        <v>3</v>
      </c>
      <c r="O57" s="227">
        <v>2</v>
      </c>
      <c r="P57" s="227"/>
      <c r="Q57" s="227"/>
      <c r="R57" s="227"/>
      <c r="S57" s="227"/>
      <c r="T57" s="103">
        <f>SUM(F57:S57)</f>
        <v>7</v>
      </c>
      <c r="U57" s="187"/>
      <c r="V57" s="191">
        <f ca="1">VLOOKUP(B57,INDIRECT($V$1),12,0)</f>
        <v>11</v>
      </c>
      <c r="W57" s="127"/>
      <c r="X57" s="191">
        <f ca="1">IFERROR(VLOOKUP(B57,INDIRECT($X$3),1,0),0)</f>
        <v>41</v>
      </c>
      <c r="Z57" s="130"/>
      <c r="AA57" s="303"/>
      <c r="AB57" s="130"/>
      <c r="AC57" s="130"/>
      <c r="AD57" s="130"/>
      <c r="AE57" s="17"/>
      <c r="AM57" s="302"/>
    </row>
    <row r="58" spans="1:39" ht="14.1" customHeight="1" x14ac:dyDescent="0.2">
      <c r="A58" s="108">
        <v>7</v>
      </c>
      <c r="B58" s="16">
        <v>165</v>
      </c>
      <c r="C58" s="99" t="str">
        <f>VLOOKUP($B58,STARTOVKA,2,0)</f>
        <v>RUS19960517</v>
      </c>
      <c r="D58" s="100" t="str">
        <f>VLOOKUP($B58,STARTOVKA,3,0)</f>
        <v xml:space="preserve">MARTYSHEV Aleksandr </v>
      </c>
      <c r="E58" s="101" t="str">
        <f>VLOOKUP($B58,STARTOVKA,4,0)</f>
        <v>RUSSIAN CYCLING FEDERATION</v>
      </c>
      <c r="F58" s="102"/>
      <c r="G58" s="102"/>
      <c r="H58" s="102"/>
      <c r="I58" s="120"/>
      <c r="J58" s="120"/>
      <c r="K58" s="120"/>
      <c r="L58" s="227"/>
      <c r="M58" s="227">
        <v>5</v>
      </c>
      <c r="N58" s="227">
        <v>1</v>
      </c>
      <c r="O58" s="227"/>
      <c r="P58" s="227"/>
      <c r="Q58" s="227"/>
      <c r="R58" s="227"/>
      <c r="S58" s="227"/>
      <c r="T58" s="103">
        <f>SUM(F58:S58)</f>
        <v>6</v>
      </c>
      <c r="U58" s="187"/>
      <c r="V58" s="191">
        <f ca="1">VLOOKUP(B58,INDIRECT($V$1),12,0)</f>
        <v>99</v>
      </c>
      <c r="W58" s="127"/>
      <c r="X58" s="191">
        <f ca="1">IFERROR(VLOOKUP(B58,INDIRECT($X$3),1,0),0)</f>
        <v>165</v>
      </c>
      <c r="Z58" s="130"/>
      <c r="AA58" s="303"/>
      <c r="AB58" s="130"/>
      <c r="AC58" s="130"/>
      <c r="AD58" s="130"/>
      <c r="AE58" s="17"/>
    </row>
    <row r="59" spans="1:39" ht="14.1" customHeight="1" x14ac:dyDescent="0.2">
      <c r="A59" s="108">
        <v>8</v>
      </c>
      <c r="B59" s="16">
        <v>151</v>
      </c>
      <c r="C59" s="99" t="str">
        <f>VLOOKUP($B59,STARTOVKA,2,0)</f>
        <v>CZE19960501</v>
      </c>
      <c r="D59" s="100" t="str">
        <f>VLOOKUP($B59,STARTOVKA,3,0)</f>
        <v>TOMAN Vojtěch</v>
      </c>
      <c r="E59" s="101" t="str">
        <f>VLOOKUP($B59,STARTOVKA,4,0)</f>
        <v>STEVENS ZNOJMO</v>
      </c>
      <c r="F59" s="102"/>
      <c r="G59" s="102"/>
      <c r="H59" s="102"/>
      <c r="I59" s="120"/>
      <c r="J59" s="120"/>
      <c r="K59" s="120"/>
      <c r="L59" s="227">
        <v>5</v>
      </c>
      <c r="M59" s="227"/>
      <c r="N59" s="227"/>
      <c r="O59" s="227"/>
      <c r="P59" s="227"/>
      <c r="Q59" s="227"/>
      <c r="R59" s="227"/>
      <c r="S59" s="227"/>
      <c r="T59" s="103">
        <f>SUM(F59:S59)</f>
        <v>5</v>
      </c>
      <c r="U59" s="187"/>
      <c r="V59" s="191">
        <f ca="1">VLOOKUP(B59,INDIRECT($V$1),12,0)</f>
        <v>10</v>
      </c>
      <c r="W59" s="127"/>
      <c r="X59" s="191">
        <f ca="1">IFERROR(VLOOKUP(B59,INDIRECT($X$3),1,0),0)</f>
        <v>151</v>
      </c>
      <c r="Z59" s="130"/>
      <c r="AA59" s="303"/>
      <c r="AB59" s="130"/>
      <c r="AC59" s="130"/>
      <c r="AD59" s="130"/>
      <c r="AE59" s="17"/>
    </row>
    <row r="60" spans="1:39" ht="14.1" customHeight="1" x14ac:dyDescent="0.2">
      <c r="A60" s="108">
        <v>9</v>
      </c>
      <c r="B60" s="16">
        <v>85</v>
      </c>
      <c r="C60" s="99" t="str">
        <f>VLOOKUP($B60,STARTOVKA,2,0)</f>
        <v>CZE19970804</v>
      </c>
      <c r="D60" s="100" t="str">
        <f>VLOOKUP($B60,STARTOVKA,3,0)</f>
        <v xml:space="preserve">SPUDIL Martin </v>
      </c>
      <c r="E60" s="101" t="str">
        <f>VLOOKUP($B60,STARTOVKA,4,0)</f>
        <v xml:space="preserve">SP KOLO LOAP SPECIALIZED </v>
      </c>
      <c r="F60" s="102">
        <v>2</v>
      </c>
      <c r="G60" s="102"/>
      <c r="H60" s="102"/>
      <c r="I60" s="120"/>
      <c r="J60" s="120"/>
      <c r="K60" s="120"/>
      <c r="L60" s="227"/>
      <c r="M60" s="227"/>
      <c r="N60" s="227"/>
      <c r="O60" s="227"/>
      <c r="P60" s="227"/>
      <c r="Q60" s="227"/>
      <c r="R60" s="227"/>
      <c r="S60" s="227"/>
      <c r="T60" s="103">
        <f>SUM(F60:S60)</f>
        <v>2</v>
      </c>
      <c r="U60" s="187"/>
      <c r="V60" s="191">
        <f ca="1">VLOOKUP(B60,INDIRECT($V$1),12,0)</f>
        <v>40</v>
      </c>
      <c r="W60" s="127"/>
      <c r="X60" s="191">
        <f ca="1">IFERROR(VLOOKUP(B60,INDIRECT($X$3),1,0),0)</f>
        <v>85</v>
      </c>
      <c r="Z60" s="130"/>
      <c r="AA60" s="299"/>
      <c r="AB60" s="130"/>
      <c r="AC60" s="130"/>
      <c r="AD60" s="130"/>
      <c r="AE60" s="17"/>
    </row>
    <row r="61" spans="1:39" ht="14.1" customHeight="1" x14ac:dyDescent="0.2">
      <c r="A61" s="108">
        <v>10</v>
      </c>
      <c r="B61" s="16">
        <v>6</v>
      </c>
      <c r="C61" s="99" t="str">
        <f>VLOOKUP($B61,STARTOVKA,2,0)</f>
        <v>GER19970811</v>
      </c>
      <c r="D61" s="100" t="str">
        <f>VLOOKUP($B61,STARTOVKA,3,0)</f>
        <v>LINTZEL Philip</v>
      </c>
      <c r="E61" s="101" t="str">
        <f>VLOOKUP($B61,STARTOVKA,4,0)</f>
        <v>RSC TURBINE ERFURT</v>
      </c>
      <c r="F61" s="102"/>
      <c r="G61" s="102">
        <v>1</v>
      </c>
      <c r="H61" s="102"/>
      <c r="I61" s="120"/>
      <c r="J61" s="120"/>
      <c r="K61" s="120"/>
      <c r="L61" s="227"/>
      <c r="M61" s="227"/>
      <c r="N61" s="227"/>
      <c r="O61" s="227"/>
      <c r="P61" s="227"/>
      <c r="Q61" s="227"/>
      <c r="R61" s="227"/>
      <c r="S61" s="227"/>
      <c r="T61" s="103">
        <f>SUM(F61:S61)</f>
        <v>1</v>
      </c>
      <c r="U61" s="187"/>
      <c r="V61" s="191">
        <f ca="1">VLOOKUP(B61,INDIRECT($V$1),12,0)</f>
        <v>85</v>
      </c>
      <c r="W61" s="127"/>
      <c r="X61" s="191">
        <f ca="1">IFERROR(VLOOKUP(B61,INDIRECT($X$3),1,0),0)</f>
        <v>6</v>
      </c>
      <c r="Z61" s="130"/>
      <c r="AA61" s="299"/>
      <c r="AB61" s="130"/>
      <c r="AC61" s="130"/>
      <c r="AD61" s="130"/>
      <c r="AE61" s="17"/>
    </row>
    <row r="62" spans="1:39" ht="14.1" customHeight="1" x14ac:dyDescent="0.2">
      <c r="A62" s="108">
        <v>11</v>
      </c>
      <c r="B62" s="16">
        <v>18</v>
      </c>
      <c r="C62" s="99" t="str">
        <f>VLOOKUP($B62,STARTOVKA,2,0)</f>
        <v>GER19980906</v>
      </c>
      <c r="D62" s="100" t="str">
        <f>VLOOKUP($B62,STARTOVKA,3,0)</f>
        <v>ZSCHOCKE Maximilian</v>
      </c>
      <c r="E62" s="101" t="str">
        <f>VLOOKUP($B62,STARTOVKA,4,0)</f>
        <v>JUNIOREN SCHWALBE TEAM SACHSEN</v>
      </c>
      <c r="F62" s="102">
        <v>1</v>
      </c>
      <c r="G62" s="102"/>
      <c r="H62" s="102"/>
      <c r="I62" s="120"/>
      <c r="J62" s="120"/>
      <c r="K62" s="120"/>
      <c r="L62" s="227"/>
      <c r="M62" s="227"/>
      <c r="N62" s="227"/>
      <c r="O62" s="227"/>
      <c r="P62" s="227"/>
      <c r="Q62" s="227"/>
      <c r="R62" s="227"/>
      <c r="S62" s="227"/>
      <c r="T62" s="103">
        <f>SUM(F62:S62)</f>
        <v>1</v>
      </c>
      <c r="U62" s="187"/>
      <c r="V62" s="191">
        <f ca="1">VLOOKUP(B62,INDIRECT($V$1),12,0)</f>
        <v>60</v>
      </c>
      <c r="W62" s="127"/>
      <c r="X62" s="191">
        <f ca="1">IFERROR(VLOOKUP(B62,INDIRECT($X$3),1,0),0)</f>
        <v>18</v>
      </c>
      <c r="Z62" s="130"/>
      <c r="AA62" s="299"/>
      <c r="AB62" s="130"/>
      <c r="AC62" s="130"/>
      <c r="AD62" s="130"/>
      <c r="AE62" s="17"/>
    </row>
    <row r="63" spans="1:39" ht="14.1" customHeight="1" x14ac:dyDescent="0.2">
      <c r="A63" s="108">
        <v>12</v>
      </c>
      <c r="B63" s="16">
        <v>134</v>
      </c>
      <c r="C63" s="99" t="str">
        <f>VLOOKUP($B63,STARTOVKA,2,0)</f>
        <v>AUT19960910</v>
      </c>
      <c r="D63" s="100" t="str">
        <f>VLOOKUP($B63,STARTOVKA,3,0)</f>
        <v>HUBER Marcel</v>
      </c>
      <c r="E63" s="101" t="str">
        <f>VLOOKUP($B63,STARTOVKA,4,0)</f>
        <v>RC ARBÖ WELS GOURMETFEIN</v>
      </c>
      <c r="F63" s="102"/>
      <c r="G63" s="102"/>
      <c r="H63" s="102">
        <v>1</v>
      </c>
      <c r="I63" s="120"/>
      <c r="J63" s="120"/>
      <c r="K63" s="120"/>
      <c r="L63" s="227"/>
      <c r="M63" s="227"/>
      <c r="N63" s="227"/>
      <c r="O63" s="227"/>
      <c r="P63" s="227"/>
      <c r="Q63" s="227"/>
      <c r="R63" s="227"/>
      <c r="S63" s="227"/>
      <c r="T63" s="103">
        <f>SUM(F63:S63)</f>
        <v>1</v>
      </c>
      <c r="U63" s="187"/>
      <c r="V63" s="191">
        <f ca="1">VLOOKUP(B63,INDIRECT($V$1),12,0)</f>
        <v>50</v>
      </c>
      <c r="W63" s="127"/>
      <c r="X63" s="191">
        <f ca="1">IFERROR(VLOOKUP(B63,INDIRECT($X$3),1,0),0)</f>
        <v>134</v>
      </c>
      <c r="Z63" s="130"/>
      <c r="AA63" s="299"/>
      <c r="AB63" s="130"/>
      <c r="AC63" s="130"/>
      <c r="AD63" s="130"/>
      <c r="AE63" s="17"/>
    </row>
    <row r="64" spans="1:39" ht="14.1" customHeight="1" x14ac:dyDescent="0.2">
      <c r="A64" s="108">
        <v>13</v>
      </c>
      <c r="B64" s="16">
        <v>176</v>
      </c>
      <c r="C64" s="99" t="str">
        <f>VLOOKUP($B64,STARTOVKA,2,0)</f>
        <v>SVK19960130</v>
      </c>
      <c r="D64" s="100" t="str">
        <f>VLOOKUP($B64,STARTOVKA,3,0)</f>
        <v>BELLAN Juraj</v>
      </c>
      <c r="E64" s="101" t="str">
        <f>VLOOKUP($B64,STARTOVKA,4,0)</f>
        <v xml:space="preserve">SLOVAK CYCLING FEDERATION </v>
      </c>
      <c r="F64" s="102"/>
      <c r="G64" s="102"/>
      <c r="H64" s="102"/>
      <c r="I64" s="120"/>
      <c r="J64" s="120"/>
      <c r="K64" s="120"/>
      <c r="L64" s="227">
        <v>1</v>
      </c>
      <c r="M64" s="227"/>
      <c r="N64" s="227"/>
      <c r="O64" s="227"/>
      <c r="P64" s="227"/>
      <c r="Q64" s="227"/>
      <c r="R64" s="227"/>
      <c r="S64" s="227"/>
      <c r="T64" s="103">
        <f>SUM(F64:S64)</f>
        <v>1</v>
      </c>
      <c r="U64" s="187"/>
      <c r="V64" s="191">
        <f ca="1">VLOOKUP(B64,INDIRECT($V$1),12,0)</f>
        <v>8</v>
      </c>
      <c r="W64" s="127"/>
      <c r="X64" s="191">
        <f ca="1">IFERROR(VLOOKUP(B64,INDIRECT($X$3),1,0),0)</f>
        <v>176</v>
      </c>
      <c r="Z64" s="130"/>
      <c r="AA64" s="130"/>
      <c r="AB64" s="130"/>
      <c r="AC64" s="130"/>
      <c r="AD64" s="130"/>
      <c r="AE64" s="17"/>
    </row>
    <row r="65" spans="1:37" ht="14.1" customHeight="1" x14ac:dyDescent="0.2">
      <c r="A65" s="108">
        <v>14</v>
      </c>
      <c r="B65" s="16">
        <v>175</v>
      </c>
      <c r="C65" s="99" t="str">
        <f>VLOOKUP($B65,STARTOVKA,2,0)</f>
        <v>SVK19960415</v>
      </c>
      <c r="D65" s="100" t="str">
        <f>VLOOKUP($B65,STARTOVKA,3,0)</f>
        <v>ZVERKO David</v>
      </c>
      <c r="E65" s="101" t="str">
        <f>VLOOKUP($B65,STARTOVKA,4,0)</f>
        <v xml:space="preserve">SLOVAK CYCLING FEDERATION </v>
      </c>
      <c r="F65" s="102"/>
      <c r="G65" s="102"/>
      <c r="H65" s="102"/>
      <c r="I65" s="120"/>
      <c r="J65" s="120"/>
      <c r="K65" s="120"/>
      <c r="L65" s="227"/>
      <c r="M65" s="227"/>
      <c r="N65" s="227"/>
      <c r="O65" s="227">
        <v>1</v>
      </c>
      <c r="P65" s="227"/>
      <c r="Q65" s="227"/>
      <c r="R65" s="227"/>
      <c r="S65" s="227"/>
      <c r="T65" s="103">
        <f>SUM(F65:S65)</f>
        <v>1</v>
      </c>
      <c r="U65" s="187"/>
      <c r="V65" s="191">
        <f ca="1">VLOOKUP(B65,INDIRECT($V$1),12,0)</f>
        <v>3</v>
      </c>
      <c r="W65" s="127"/>
      <c r="X65" s="191">
        <f ca="1">IFERROR(VLOOKUP(B65,INDIRECT($X$3),1,0),0)</f>
        <v>175</v>
      </c>
      <c r="Z65" s="130"/>
      <c r="AA65" s="130"/>
      <c r="AB65" s="130"/>
      <c r="AC65" s="130"/>
      <c r="AD65" s="130"/>
      <c r="AE65" s="17"/>
    </row>
    <row r="66" spans="1:37" ht="14.1" hidden="1" customHeight="1" outlineLevel="1" x14ac:dyDescent="0.2">
      <c r="A66" s="108">
        <v>15</v>
      </c>
      <c r="B66" s="16"/>
      <c r="C66" s="99" t="e">
        <f t="shared" ref="C52:C70" si="4">VLOOKUP($B66,STARTOVKA,2,0)</f>
        <v>#N/A</v>
      </c>
      <c r="D66" s="100" t="e">
        <f t="shared" ref="D52:D70" si="5">VLOOKUP($B66,STARTOVKA,3,0)</f>
        <v>#N/A</v>
      </c>
      <c r="E66" s="101" t="e">
        <f t="shared" ref="E52:E70" si="6">VLOOKUP($B66,STARTOVKA,4,0)</f>
        <v>#N/A</v>
      </c>
      <c r="F66" s="102"/>
      <c r="G66" s="102"/>
      <c r="H66" s="102"/>
      <c r="I66" s="120"/>
      <c r="J66" s="120"/>
      <c r="K66" s="120"/>
      <c r="L66" s="227"/>
      <c r="M66" s="227"/>
      <c r="N66" s="227"/>
      <c r="O66" s="227"/>
      <c r="P66" s="227"/>
      <c r="Q66" s="227"/>
      <c r="R66" s="227"/>
      <c r="S66" s="227"/>
      <c r="T66" s="103">
        <f t="shared" ref="T59:T70" si="7">SUM(F66:S66)</f>
        <v>0</v>
      </c>
      <c r="U66" s="187"/>
      <c r="V66" s="191" t="e">
        <f ca="1">VLOOKUP(B66,INDIRECT($V$1),12,0)</f>
        <v>#N/A</v>
      </c>
      <c r="W66" s="127"/>
      <c r="X66" s="191">
        <f ca="1">IFERROR(VLOOKUP(B66,INDIRECT($X$3),1,0),0)</f>
        <v>0</v>
      </c>
      <c r="Z66" s="130"/>
      <c r="AA66" s="130"/>
      <c r="AB66" s="130"/>
      <c r="AC66" s="130"/>
      <c r="AD66" s="130"/>
      <c r="AE66" s="17"/>
    </row>
    <row r="67" spans="1:37" ht="14.1" hidden="1" customHeight="1" outlineLevel="1" x14ac:dyDescent="0.2">
      <c r="A67" s="108">
        <v>16</v>
      </c>
      <c r="B67" s="16"/>
      <c r="C67" s="99" t="e">
        <f t="shared" si="4"/>
        <v>#N/A</v>
      </c>
      <c r="D67" s="100" t="e">
        <f t="shared" si="5"/>
        <v>#N/A</v>
      </c>
      <c r="E67" s="101" t="e">
        <f t="shared" si="6"/>
        <v>#N/A</v>
      </c>
      <c r="F67" s="102"/>
      <c r="G67" s="102"/>
      <c r="H67" s="102"/>
      <c r="I67" s="120"/>
      <c r="J67" s="120"/>
      <c r="K67" s="120"/>
      <c r="L67" s="227"/>
      <c r="M67" s="227"/>
      <c r="N67" s="227"/>
      <c r="O67" s="227"/>
      <c r="P67" s="227"/>
      <c r="Q67" s="227"/>
      <c r="R67" s="227"/>
      <c r="S67" s="227"/>
      <c r="T67" s="103">
        <f t="shared" si="7"/>
        <v>0</v>
      </c>
      <c r="U67" s="187"/>
      <c r="V67" s="191" t="e">
        <f ca="1">VLOOKUP(B67,INDIRECT($V$1),12,0)</f>
        <v>#N/A</v>
      </c>
      <c r="W67" s="127"/>
      <c r="X67" s="191">
        <f ca="1">IFERROR(VLOOKUP(B67,INDIRECT($X$3),1,0),0)</f>
        <v>0</v>
      </c>
      <c r="Z67" s="130"/>
      <c r="AA67" s="130"/>
      <c r="AB67" s="130"/>
      <c r="AC67" s="130"/>
      <c r="AD67" s="130"/>
      <c r="AE67" s="17"/>
    </row>
    <row r="68" spans="1:37" ht="14.1" hidden="1" customHeight="1" outlineLevel="1" x14ac:dyDescent="0.2">
      <c r="A68" s="108">
        <v>17</v>
      </c>
      <c r="B68" s="16"/>
      <c r="C68" s="99" t="e">
        <f t="shared" si="4"/>
        <v>#N/A</v>
      </c>
      <c r="D68" s="100" t="e">
        <f t="shared" si="5"/>
        <v>#N/A</v>
      </c>
      <c r="E68" s="101" t="e">
        <f t="shared" si="6"/>
        <v>#N/A</v>
      </c>
      <c r="F68" s="102"/>
      <c r="G68" s="102"/>
      <c r="H68" s="102"/>
      <c r="I68" s="120"/>
      <c r="J68" s="120"/>
      <c r="K68" s="120"/>
      <c r="L68" s="227"/>
      <c r="M68" s="227"/>
      <c r="N68" s="227"/>
      <c r="O68" s="227"/>
      <c r="P68" s="227"/>
      <c r="Q68" s="227"/>
      <c r="R68" s="227"/>
      <c r="S68" s="227"/>
      <c r="T68" s="103">
        <f t="shared" si="7"/>
        <v>0</v>
      </c>
      <c r="U68" s="187"/>
      <c r="V68" s="191" t="e">
        <f ca="1">VLOOKUP(B68,INDIRECT($V$1),12,0)</f>
        <v>#N/A</v>
      </c>
      <c r="W68" s="127"/>
      <c r="X68" s="191">
        <f ca="1">IFERROR(VLOOKUP(B68,INDIRECT($X$3),1,0),0)</f>
        <v>0</v>
      </c>
      <c r="Z68" s="130"/>
      <c r="AA68" s="130"/>
      <c r="AB68" s="130"/>
      <c r="AC68" s="130"/>
      <c r="AD68" s="130"/>
      <c r="AE68" s="17"/>
    </row>
    <row r="69" spans="1:37" ht="14.1" hidden="1" customHeight="1" outlineLevel="1" x14ac:dyDescent="0.2">
      <c r="A69" s="108">
        <v>18</v>
      </c>
      <c r="B69" s="16"/>
      <c r="C69" s="99" t="e">
        <f t="shared" si="4"/>
        <v>#N/A</v>
      </c>
      <c r="D69" s="100" t="e">
        <f t="shared" si="5"/>
        <v>#N/A</v>
      </c>
      <c r="E69" s="101" t="e">
        <f t="shared" si="6"/>
        <v>#N/A</v>
      </c>
      <c r="F69" s="102"/>
      <c r="G69" s="102"/>
      <c r="H69" s="102"/>
      <c r="I69" s="120"/>
      <c r="J69" s="120"/>
      <c r="K69" s="120"/>
      <c r="L69" s="227"/>
      <c r="M69" s="227"/>
      <c r="N69" s="227"/>
      <c r="O69" s="227"/>
      <c r="P69" s="227"/>
      <c r="Q69" s="227"/>
      <c r="R69" s="227"/>
      <c r="S69" s="227"/>
      <c r="T69" s="103">
        <f t="shared" si="7"/>
        <v>0</v>
      </c>
      <c r="U69" s="187"/>
      <c r="V69" s="191" t="e">
        <f ca="1">VLOOKUP(B69,INDIRECT($V$1),12,0)</f>
        <v>#N/A</v>
      </c>
      <c r="W69" s="127"/>
      <c r="X69" s="191">
        <f ca="1">IFERROR(VLOOKUP(B69,INDIRECT($X$3),1,0),0)</f>
        <v>0</v>
      </c>
      <c r="Z69" s="130"/>
      <c r="AA69" s="130"/>
      <c r="AB69" s="130"/>
      <c r="AC69" s="130"/>
      <c r="AD69" s="130"/>
      <c r="AE69" s="17"/>
    </row>
    <row r="70" spans="1:37" ht="14.1" hidden="1" customHeight="1" outlineLevel="1" x14ac:dyDescent="0.2">
      <c r="A70" s="108">
        <v>19</v>
      </c>
      <c r="B70" s="16"/>
      <c r="C70" s="99" t="e">
        <f t="shared" si="4"/>
        <v>#N/A</v>
      </c>
      <c r="D70" s="100" t="e">
        <f t="shared" si="5"/>
        <v>#N/A</v>
      </c>
      <c r="E70" s="101" t="e">
        <f t="shared" si="6"/>
        <v>#N/A</v>
      </c>
      <c r="F70" s="102"/>
      <c r="G70" s="102"/>
      <c r="H70" s="102"/>
      <c r="I70" s="120"/>
      <c r="J70" s="120"/>
      <c r="K70" s="120"/>
      <c r="L70" s="227"/>
      <c r="M70" s="227"/>
      <c r="N70" s="227"/>
      <c r="O70" s="227"/>
      <c r="P70" s="227"/>
      <c r="Q70" s="227"/>
      <c r="R70" s="227"/>
      <c r="S70" s="227"/>
      <c r="T70" s="103">
        <f t="shared" si="7"/>
        <v>0</v>
      </c>
      <c r="U70" s="187"/>
      <c r="V70" s="191" t="e">
        <f ca="1">VLOOKUP(B70,INDIRECT($V$1),12,0)</f>
        <v>#N/A</v>
      </c>
      <c r="W70" s="127"/>
      <c r="X70" s="191">
        <f ca="1">IFERROR(VLOOKUP(B70,INDIRECT($X$3),1,0),0)</f>
        <v>0</v>
      </c>
      <c r="Z70" s="130"/>
      <c r="AA70" s="130"/>
      <c r="AB70" s="130"/>
      <c r="AC70" s="130"/>
      <c r="AD70" s="130"/>
      <c r="AE70" s="17"/>
    </row>
    <row r="71" spans="1:37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11"/>
      <c r="X71" s="130"/>
      <c r="Z71" s="130"/>
      <c r="AA71" s="130"/>
      <c r="AB71" s="130"/>
      <c r="AC71" s="130"/>
      <c r="AD71" s="130"/>
      <c r="AE71" s="17"/>
    </row>
    <row r="72" spans="1:37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3"/>
      <c r="W72" s="130"/>
      <c r="X72" s="130"/>
      <c r="Y72" s="130"/>
      <c r="Z72" s="130"/>
      <c r="AA72" s="130"/>
      <c r="AB72" s="130"/>
      <c r="AC72" s="130"/>
      <c r="AD72" s="130"/>
      <c r="AF72" s="303"/>
      <c r="AG72" s="303"/>
      <c r="AH72" s="303"/>
      <c r="AI72" s="303"/>
      <c r="AJ72" s="303"/>
      <c r="AK72" s="303"/>
    </row>
    <row r="73" spans="1:37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3"/>
      <c r="W73" s="130"/>
      <c r="X73" s="130"/>
      <c r="Y73" s="130"/>
      <c r="Z73" s="130"/>
      <c r="AA73" s="130"/>
      <c r="AB73" s="130"/>
      <c r="AC73" s="130"/>
      <c r="AD73" s="130"/>
      <c r="AF73" s="303"/>
      <c r="AG73" s="303"/>
      <c r="AH73" s="303"/>
      <c r="AI73" s="303"/>
      <c r="AJ73" s="303"/>
      <c r="AK73" s="303"/>
    </row>
    <row r="74" spans="1:37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3"/>
      <c r="W74" s="130"/>
      <c r="X74" s="130"/>
      <c r="Y74" s="130"/>
      <c r="Z74" s="130"/>
      <c r="AA74" s="130"/>
      <c r="AB74" s="130"/>
      <c r="AC74" s="130"/>
      <c r="AD74" s="130"/>
      <c r="AF74" s="303"/>
      <c r="AG74" s="303"/>
      <c r="AH74" s="303"/>
      <c r="AI74" s="303"/>
      <c r="AJ74" s="303"/>
      <c r="AK74" s="303"/>
    </row>
    <row r="75" spans="1:37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3"/>
      <c r="W75" s="130"/>
      <c r="X75" s="130"/>
      <c r="Y75" s="130"/>
      <c r="Z75" s="130"/>
      <c r="AA75" s="130"/>
      <c r="AB75" s="130"/>
      <c r="AC75" s="130"/>
      <c r="AD75" s="130"/>
      <c r="AF75" s="303"/>
      <c r="AG75" s="303"/>
      <c r="AH75" s="303"/>
      <c r="AI75" s="303"/>
      <c r="AJ75" s="303"/>
      <c r="AK75" s="303"/>
    </row>
    <row r="76" spans="1:37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3"/>
      <c r="W76" s="130"/>
      <c r="X76" s="130"/>
      <c r="Y76" s="130"/>
      <c r="Z76" s="130"/>
      <c r="AA76" s="130"/>
      <c r="AB76" s="130"/>
      <c r="AC76" s="130"/>
      <c r="AD76" s="130"/>
      <c r="AF76" s="303"/>
      <c r="AG76" s="303"/>
      <c r="AH76" s="303"/>
      <c r="AI76" s="303"/>
      <c r="AJ76" s="303"/>
      <c r="AK76" s="303"/>
    </row>
    <row r="77" spans="1:37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3"/>
      <c r="W77" s="130"/>
      <c r="X77" s="130"/>
      <c r="Y77" s="130"/>
      <c r="Z77" s="130"/>
      <c r="AA77" s="130"/>
      <c r="AB77" s="130"/>
      <c r="AC77" s="130"/>
      <c r="AD77" s="130"/>
      <c r="AF77" s="303"/>
      <c r="AG77" s="303"/>
      <c r="AH77" s="303"/>
      <c r="AI77" s="303"/>
      <c r="AJ77" s="303"/>
      <c r="AK77" s="303"/>
    </row>
    <row r="78" spans="1:37" s="17" customFormat="1" ht="22.5" customHeight="1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3"/>
      <c r="W78" s="130"/>
      <c r="X78" s="130"/>
      <c r="Y78" s="130"/>
      <c r="Z78" s="130"/>
      <c r="AA78" s="303"/>
      <c r="AB78" s="303"/>
      <c r="AC78" s="303"/>
      <c r="AD78" s="130"/>
      <c r="AF78" s="303"/>
      <c r="AG78" s="303"/>
      <c r="AH78" s="303"/>
      <c r="AI78" s="303"/>
      <c r="AJ78" s="303"/>
      <c r="AK78" s="303"/>
    </row>
    <row r="79" spans="1:37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3"/>
      <c r="W79" s="130"/>
      <c r="X79" s="130"/>
      <c r="Y79" s="130"/>
      <c r="Z79" s="130"/>
      <c r="AA79" s="303"/>
      <c r="AB79" s="303"/>
      <c r="AC79" s="303"/>
      <c r="AD79" s="130"/>
      <c r="AF79" s="303"/>
      <c r="AG79" s="303"/>
      <c r="AH79" s="303"/>
      <c r="AI79" s="303"/>
      <c r="AJ79" s="303"/>
      <c r="AK79" s="303"/>
    </row>
    <row r="80" spans="1:37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3"/>
      <c r="W80" s="130"/>
      <c r="X80" s="130"/>
      <c r="Y80" s="130"/>
      <c r="Z80" s="130"/>
      <c r="AA80" s="303"/>
      <c r="AB80" s="303"/>
      <c r="AC80" s="303"/>
      <c r="AD80" s="130"/>
      <c r="AF80" s="303"/>
      <c r="AG80" s="303"/>
      <c r="AH80" s="303"/>
      <c r="AI80" s="303"/>
      <c r="AJ80" s="303"/>
      <c r="AK80" s="303"/>
    </row>
    <row r="81" spans="1:37" ht="6" customHeight="1" x14ac:dyDescent="0.2">
      <c r="A81" s="247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189"/>
      <c r="AA81" s="303"/>
      <c r="AB81" s="303"/>
      <c r="AC81" s="303"/>
    </row>
    <row r="82" spans="1:37" x14ac:dyDescent="0.2">
      <c r="A82" s="114"/>
      <c r="B82" s="114"/>
      <c r="C82" s="115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90"/>
      <c r="AA82" s="303"/>
      <c r="AB82" s="303"/>
      <c r="AC82" s="303"/>
    </row>
    <row r="83" spans="1:37" x14ac:dyDescent="0.2">
      <c r="A83" s="114"/>
      <c r="B83" s="114"/>
      <c r="C83" s="115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90"/>
      <c r="AA83" s="303"/>
      <c r="AB83" s="303"/>
      <c r="AC83" s="303"/>
    </row>
    <row r="84" spans="1:37" x14ac:dyDescent="0.2">
      <c r="A84" s="114"/>
      <c r="B84" s="114"/>
      <c r="C84" s="115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90"/>
      <c r="AA84" s="303"/>
      <c r="AB84" s="303"/>
      <c r="AC84" s="303"/>
    </row>
    <row r="85" spans="1:37" x14ac:dyDescent="0.2">
      <c r="A85" s="114"/>
      <c r="B85" s="114"/>
      <c r="C85" s="115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90"/>
      <c r="AA85" s="303"/>
      <c r="AB85" s="303"/>
      <c r="AC85" s="303"/>
    </row>
    <row r="86" spans="1:37" s="90" customFormat="1" x14ac:dyDescent="0.2">
      <c r="A86" s="114"/>
      <c r="B86" s="114"/>
      <c r="C86" s="115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90"/>
      <c r="W86" s="123"/>
      <c r="X86" s="123"/>
      <c r="Y86" s="123"/>
      <c r="Z86" s="123"/>
      <c r="AA86" s="303"/>
      <c r="AB86" s="299"/>
      <c r="AC86" s="303"/>
      <c r="AD86" s="123"/>
      <c r="AE86"/>
      <c r="AF86" s="303"/>
      <c r="AG86" s="303"/>
      <c r="AH86" s="303"/>
      <c r="AI86" s="303"/>
      <c r="AJ86" s="303"/>
      <c r="AK86" s="303"/>
    </row>
    <row r="87" spans="1:37" s="90" customFormat="1" x14ac:dyDescent="0.2">
      <c r="A87" s="114"/>
      <c r="B87" s="114"/>
      <c r="C87" s="115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90"/>
      <c r="W87" s="123"/>
      <c r="X87" s="123"/>
      <c r="Y87" s="123"/>
      <c r="Z87" s="123"/>
      <c r="AA87" s="303"/>
      <c r="AB87" s="299"/>
      <c r="AC87" s="303"/>
      <c r="AD87" s="123"/>
      <c r="AE87"/>
      <c r="AF87" s="303"/>
      <c r="AG87" s="303"/>
      <c r="AH87" s="303"/>
      <c r="AI87" s="303"/>
      <c r="AJ87" s="303"/>
      <c r="AK87" s="303"/>
    </row>
    <row r="88" spans="1:37" s="90" customFormat="1" x14ac:dyDescent="0.2">
      <c r="A88" s="114"/>
      <c r="B88" s="114"/>
      <c r="C88" s="115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90"/>
      <c r="W88" s="123"/>
      <c r="X88" s="123"/>
      <c r="Y88" s="123"/>
      <c r="Z88" s="123"/>
      <c r="AA88" s="303"/>
      <c r="AB88" s="299"/>
      <c r="AC88" s="303"/>
      <c r="AD88" s="123"/>
      <c r="AE88"/>
      <c r="AF88" s="303"/>
      <c r="AG88" s="303"/>
      <c r="AH88" s="303"/>
      <c r="AI88" s="303"/>
      <c r="AJ88" s="303"/>
      <c r="AK88" s="303"/>
    </row>
    <row r="89" spans="1:37" s="90" customFormat="1" x14ac:dyDescent="0.2">
      <c r="A89" s="114"/>
      <c r="B89" s="114"/>
      <c r="C89" s="115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90"/>
      <c r="W89" s="123"/>
      <c r="X89" s="123"/>
      <c r="Y89" s="123"/>
      <c r="Z89" s="123"/>
      <c r="AA89" s="303"/>
      <c r="AB89" s="299"/>
      <c r="AC89" s="303"/>
      <c r="AD89" s="123"/>
      <c r="AE89"/>
      <c r="AF89" s="303"/>
      <c r="AG89" s="303"/>
      <c r="AH89" s="303"/>
      <c r="AI89" s="303"/>
      <c r="AJ89" s="303"/>
      <c r="AK89" s="303"/>
    </row>
    <row r="90" spans="1:37" s="90" customFormat="1" ht="6" customHeight="1" x14ac:dyDescent="0.2">
      <c r="A90" s="247"/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189"/>
      <c r="W90" s="123"/>
      <c r="X90" s="123"/>
      <c r="Y90" s="123"/>
      <c r="Z90" s="123"/>
      <c r="AA90" s="303"/>
      <c r="AB90" s="306"/>
      <c r="AC90" s="303"/>
      <c r="AD90" s="123"/>
      <c r="AE90"/>
      <c r="AF90" s="303"/>
      <c r="AG90" s="303"/>
      <c r="AH90" s="303"/>
      <c r="AI90" s="303"/>
      <c r="AJ90" s="303"/>
      <c r="AK90" s="303"/>
    </row>
    <row r="91" spans="1:37" s="90" customFormat="1" ht="11.45" customHeight="1" x14ac:dyDescent="0.2">
      <c r="A91" s="267" t="s">
        <v>44</v>
      </c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189"/>
      <c r="W91" s="123"/>
      <c r="X91" s="123"/>
      <c r="Y91" s="123"/>
      <c r="Z91" s="123"/>
      <c r="AA91" s="303"/>
      <c r="AB91" s="307"/>
      <c r="AC91" s="303"/>
      <c r="AD91" s="123"/>
      <c r="AE91"/>
      <c r="AF91" s="303"/>
      <c r="AG91" s="303"/>
      <c r="AH91" s="303"/>
      <c r="AI91" s="303"/>
      <c r="AJ91" s="303"/>
      <c r="AK91" s="303"/>
    </row>
    <row r="92" spans="1:37" x14ac:dyDescent="0.2">
      <c r="AA92" s="303"/>
      <c r="AB92" s="299"/>
      <c r="AC92" s="303"/>
    </row>
    <row r="93" spans="1:37" x14ac:dyDescent="0.2">
      <c r="AA93" s="303"/>
      <c r="AB93" s="299"/>
      <c r="AC93" s="303"/>
    </row>
    <row r="94" spans="1:37" x14ac:dyDescent="0.2">
      <c r="AA94" s="303"/>
      <c r="AB94" s="299"/>
      <c r="AC94" s="303"/>
    </row>
    <row r="95" spans="1:37" x14ac:dyDescent="0.2">
      <c r="AA95" s="303"/>
      <c r="AB95" s="299"/>
      <c r="AC95" s="303"/>
    </row>
    <row r="96" spans="1:37" x14ac:dyDescent="0.2">
      <c r="AA96" s="303"/>
      <c r="AB96" s="307"/>
      <c r="AC96" s="303"/>
    </row>
    <row r="97" spans="1:39" x14ac:dyDescent="0.2">
      <c r="AA97" s="303"/>
      <c r="AB97" s="307"/>
      <c r="AC97" s="303"/>
    </row>
    <row r="98" spans="1:39" x14ac:dyDescent="0.2">
      <c r="AB98" s="299"/>
    </row>
    <row r="99" spans="1:39" s="123" customFormat="1" x14ac:dyDescent="0.2">
      <c r="A99" s="90"/>
      <c r="B99" s="90"/>
      <c r="C99" s="93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113"/>
      <c r="V99" s="90"/>
      <c r="AB99" s="299"/>
      <c r="AE99"/>
      <c r="AF99" s="303"/>
      <c r="AG99" s="303"/>
      <c r="AH99" s="303"/>
      <c r="AI99" s="303"/>
      <c r="AJ99" s="303"/>
      <c r="AK99" s="303"/>
      <c r="AL99"/>
      <c r="AM99"/>
    </row>
    <row r="100" spans="1:39" s="123" customFormat="1" x14ac:dyDescent="0.2">
      <c r="A100" s="90"/>
      <c r="B100" s="90"/>
      <c r="C100" s="93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113"/>
      <c r="V100" s="90"/>
      <c r="AB100" s="299"/>
      <c r="AE100"/>
      <c r="AF100" s="303"/>
      <c r="AG100" s="303"/>
      <c r="AH100" s="303"/>
      <c r="AI100" s="303"/>
      <c r="AJ100" s="303"/>
      <c r="AK100" s="303"/>
      <c r="AL100"/>
      <c r="AM100"/>
    </row>
    <row r="101" spans="1:39" s="123" customFormat="1" x14ac:dyDescent="0.2">
      <c r="A101" s="90"/>
      <c r="B101" s="90"/>
      <c r="C101" s="93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113"/>
      <c r="V101" s="90"/>
      <c r="AB101" s="299"/>
      <c r="AE101"/>
      <c r="AF101" s="303"/>
      <c r="AG101" s="303"/>
      <c r="AH101" s="303"/>
      <c r="AI101" s="303"/>
      <c r="AJ101" s="303"/>
      <c r="AK101" s="303"/>
      <c r="AL101"/>
      <c r="AM101"/>
    </row>
    <row r="102" spans="1:39" x14ac:dyDescent="0.2">
      <c r="AB102" s="303"/>
    </row>
    <row r="103" spans="1:39" x14ac:dyDescent="0.2">
      <c r="AB103" s="303"/>
    </row>
  </sheetData>
  <sortState ref="B56:T57">
    <sortCondition descending="1" ref="B56"/>
  </sortState>
  <mergeCells count="45">
    <mergeCell ref="S50:S51"/>
    <mergeCell ref="B51:E51"/>
    <mergeCell ref="A91:T91"/>
    <mergeCell ref="Q10:Q11"/>
    <mergeCell ref="N10:N11"/>
    <mergeCell ref="D3:P3"/>
    <mergeCell ref="N50:N51"/>
    <mergeCell ref="Q50:Q51"/>
    <mergeCell ref="L50:L51"/>
    <mergeCell ref="M50:M51"/>
    <mergeCell ref="O50:O51"/>
    <mergeCell ref="P50:P51"/>
    <mergeCell ref="R50:R51"/>
    <mergeCell ref="R10:R11"/>
    <mergeCell ref="S10:S11"/>
    <mergeCell ref="B11:E11"/>
    <mergeCell ref="A50:E50"/>
    <mergeCell ref="F50:F51"/>
    <mergeCell ref="G50:G51"/>
    <mergeCell ref="H50:H51"/>
    <mergeCell ref="I50:I51"/>
    <mergeCell ref="J50:J51"/>
    <mergeCell ref="K50:K51"/>
    <mergeCell ref="K10:K11"/>
    <mergeCell ref="L10:L11"/>
    <mergeCell ref="M10:M11"/>
    <mergeCell ref="O10:O11"/>
    <mergeCell ref="P10:P11"/>
    <mergeCell ref="F8:H8"/>
    <mergeCell ref="I8:K8"/>
    <mergeCell ref="L8:O8"/>
    <mergeCell ref="P8:S8"/>
    <mergeCell ref="A10:E10"/>
    <mergeCell ref="F10:F11"/>
    <mergeCell ref="G10:G11"/>
    <mergeCell ref="H10:H11"/>
    <mergeCell ref="I10:I11"/>
    <mergeCell ref="J10:J11"/>
    <mergeCell ref="A1:T1"/>
    <mergeCell ref="A2:T2"/>
    <mergeCell ref="A5:T5"/>
    <mergeCell ref="F7:H7"/>
    <mergeCell ref="I7:K7"/>
    <mergeCell ref="L7:O7"/>
    <mergeCell ref="P7:S7"/>
  </mergeCells>
  <conditionalFormatting sqref="X12:X47 AB12:AB26">
    <cfRule type="cellIs" dxfId="1" priority="2" operator="equal">
      <formula>0</formula>
    </cfRule>
  </conditionalFormatting>
  <conditionalFormatting sqref="X52:X70">
    <cfRule type="cellIs" dxfId="0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5"/>
  <sheetViews>
    <sheetView zoomScale="70" zoomScaleNormal="70" workbookViewId="0">
      <selection activeCell="I14" sqref="I14"/>
    </sheetView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256" t="str">
        <f>CTRL!B7</f>
        <v>R E G I O N E M   O R L I C K A   L A N Š K R O U N   2 0 1 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2:31" ht="15.75" x14ac:dyDescent="0.2">
      <c r="B2" s="250" t="str">
        <f>CTRL!B8</f>
        <v>28. ročník mezinárodního cyklistického závodu juniorů / 28th edition of international cycling race of juniors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1" ht="18.75" x14ac:dyDescent="0.3">
      <c r="C3" s="20"/>
      <c r="D3" s="251" t="str">
        <f>CTRL!B23</f>
        <v>po 2. etapě / after 2nd Stage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/>
      <c r="AE3" s="2" t="str">
        <f>"Com.no.: 16/" &amp; CTRL!B27</f>
        <v>Com.no.: 16/31</v>
      </c>
    </row>
    <row r="4" spans="2:31" x14ac:dyDescent="0.2">
      <c r="B4" s="13" t="str">
        <f>"Datum / Date: "&amp;TEXT(CTRL!B11,"dd.mm.rrrr")</f>
        <v>Datum / Date: 09.08.2014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254" t="s">
        <v>130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2:31" ht="9" customHeight="1" x14ac:dyDescent="0.2">
      <c r="C6" s="20"/>
      <c r="D6" s="1"/>
      <c r="AD6"/>
      <c r="AE6"/>
    </row>
    <row r="7" spans="2:31" x14ac:dyDescent="0.2">
      <c r="B7" s="218" t="s">
        <v>0</v>
      </c>
      <c r="C7" s="218" t="s">
        <v>12</v>
      </c>
      <c r="D7" s="218" t="s">
        <v>4</v>
      </c>
      <c r="E7" s="174"/>
      <c r="F7" s="298" t="s">
        <v>132</v>
      </c>
      <c r="G7" s="298"/>
      <c r="H7" s="298"/>
      <c r="I7" s="298"/>
      <c r="J7" s="218" t="s">
        <v>22</v>
      </c>
      <c r="K7" s="174"/>
      <c r="L7" s="298" t="s">
        <v>23</v>
      </c>
      <c r="M7" s="298"/>
      <c r="N7" s="298"/>
      <c r="O7" s="298"/>
      <c r="P7" s="218" t="s">
        <v>23</v>
      </c>
      <c r="Q7" s="174"/>
      <c r="R7" s="298" t="s">
        <v>24</v>
      </c>
      <c r="S7" s="298"/>
      <c r="T7" s="298"/>
      <c r="U7" s="298"/>
      <c r="V7" s="218" t="s">
        <v>24</v>
      </c>
      <c r="W7" s="174"/>
      <c r="X7" s="298" t="s">
        <v>25</v>
      </c>
      <c r="Y7" s="298"/>
      <c r="Z7" s="298"/>
      <c r="AA7" s="298"/>
      <c r="AB7" s="218" t="s">
        <v>25</v>
      </c>
      <c r="AC7" s="174"/>
      <c r="AD7" s="218" t="s">
        <v>26</v>
      </c>
      <c r="AE7" s="218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297" t="s">
        <v>129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225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586</v>
      </c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 t="shared" ref="AD12:AD29" si="1">H12+N12+T12+Z12</f>
        <v>0.25488291666666668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478</v>
      </c>
      <c r="D13" s="225" t="str">
        <f t="shared" si="0"/>
        <v>RSC TURBINE ERFURT, RSV SONNEBERG, RV ELXLEBEN, 1.RSV 1886 GREIZ</v>
      </c>
      <c r="E13" s="170"/>
      <c r="F13" s="171">
        <v>4</v>
      </c>
      <c r="G13" s="171">
        <v>171</v>
      </c>
      <c r="H13" s="172">
        <v>0.23464120370370373</v>
      </c>
      <c r="I13" s="177" t="s">
        <v>577</v>
      </c>
      <c r="J13" s="173"/>
      <c r="K13" s="169"/>
      <c r="L13" s="171">
        <v>2</v>
      </c>
      <c r="M13" s="171">
        <v>36</v>
      </c>
      <c r="N13" s="172">
        <v>2.1020150462962919E-2</v>
      </c>
      <c r="O13" s="177" t="s">
        <v>602</v>
      </c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 t="shared" si="1"/>
        <v>0.25566135416666663</v>
      </c>
      <c r="AE13" s="172">
        <f t="shared" si="2"/>
        <v>7.7843749999995104E-4</v>
      </c>
    </row>
    <row r="14" spans="2:31" ht="29.25" customHeight="1" x14ac:dyDescent="0.2">
      <c r="B14" s="53">
        <v>3</v>
      </c>
      <c r="C14" s="57" t="s">
        <v>99</v>
      </c>
      <c r="D14" s="225" t="str">
        <f t="shared" si="0"/>
        <v>RUSSIAN CYCLING FEDERATION</v>
      </c>
      <c r="E14" s="170"/>
      <c r="F14" s="171">
        <v>14</v>
      </c>
      <c r="G14" s="171">
        <v>135</v>
      </c>
      <c r="H14" s="172">
        <v>0.23486111111111113</v>
      </c>
      <c r="I14" s="177" t="s">
        <v>569</v>
      </c>
      <c r="J14" s="173"/>
      <c r="K14" s="169"/>
      <c r="L14" s="171">
        <v>3</v>
      </c>
      <c r="M14" s="171">
        <v>41</v>
      </c>
      <c r="N14" s="172">
        <v>2.1087662037036978E-2</v>
      </c>
      <c r="O14" s="177" t="s">
        <v>597</v>
      </c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0.25594877314814812</v>
      </c>
      <c r="AE14" s="172">
        <f t="shared" si="2"/>
        <v>1.065856481481442E-3</v>
      </c>
    </row>
    <row r="15" spans="2:31" ht="29.25" customHeight="1" x14ac:dyDescent="0.2">
      <c r="B15" s="53">
        <v>4</v>
      </c>
      <c r="C15" s="57" t="s">
        <v>310</v>
      </c>
      <c r="D15" s="225" t="str">
        <f t="shared" si="0"/>
        <v xml:space="preserve">MAPEI CYKLO KAŇKOVSKÝ </v>
      </c>
      <c r="E15" s="170"/>
      <c r="F15" s="171">
        <v>3</v>
      </c>
      <c r="G15" s="171">
        <v>154</v>
      </c>
      <c r="H15" s="172">
        <v>0.23464120370370373</v>
      </c>
      <c r="I15" s="177" t="s">
        <v>576</v>
      </c>
      <c r="J15" s="173"/>
      <c r="K15" s="169"/>
      <c r="L15" s="171">
        <v>5</v>
      </c>
      <c r="M15" s="171">
        <v>62</v>
      </c>
      <c r="N15" s="172">
        <v>2.1363032407407494E-2</v>
      </c>
      <c r="O15" s="177" t="s">
        <v>593</v>
      </c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55</v>
      </c>
      <c r="AC15" s="176"/>
      <c r="AD15" s="198">
        <f t="shared" si="1"/>
        <v>0.25600423611111123</v>
      </c>
      <c r="AE15" s="172">
        <f t="shared" si="2"/>
        <v>1.1213194444445462E-3</v>
      </c>
    </row>
    <row r="16" spans="2:31" ht="29.25" customHeight="1" x14ac:dyDescent="0.2">
      <c r="B16" s="53">
        <v>5</v>
      </c>
      <c r="C16" s="57" t="s">
        <v>294</v>
      </c>
      <c r="D16" s="225" t="str">
        <f t="shared" si="0"/>
        <v xml:space="preserve">LRV STEIERMARK </v>
      </c>
      <c r="E16" s="170"/>
      <c r="F16" s="171">
        <v>12</v>
      </c>
      <c r="G16" s="171">
        <v>110</v>
      </c>
      <c r="H16" s="172">
        <v>0.23486111111111113</v>
      </c>
      <c r="I16" s="177" t="s">
        <v>565</v>
      </c>
      <c r="J16" s="173"/>
      <c r="K16" s="169"/>
      <c r="L16" s="171">
        <v>4</v>
      </c>
      <c r="M16" s="171">
        <v>59</v>
      </c>
      <c r="N16" s="172">
        <v>2.1194166666666708E-2</v>
      </c>
      <c r="O16" s="177" t="s">
        <v>571</v>
      </c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145</v>
      </c>
      <c r="AC16" s="176"/>
      <c r="AD16" s="198">
        <f t="shared" si="1"/>
        <v>0.25605527777777781</v>
      </c>
      <c r="AE16" s="172">
        <f t="shared" si="2"/>
        <v>1.1723611111111309E-3</v>
      </c>
    </row>
    <row r="17" spans="2:31" ht="29.25" customHeight="1" x14ac:dyDescent="0.2">
      <c r="B17" s="53">
        <v>6</v>
      </c>
      <c r="C17" s="57" t="s">
        <v>211</v>
      </c>
      <c r="D17" s="226" t="str">
        <f t="shared" si="0"/>
        <v xml:space="preserve">GRUPA KOLARSKA GLIWICE BA, ACK STARÁ VES NAD ONDŘEJNICÍ , KLUCZBORK, CK FESO PETŘVALD, TJ SIGMA HRANICE , SK JIŘÍ TEAM OSTRAVA </v>
      </c>
      <c r="E17" s="170"/>
      <c r="F17" s="171">
        <v>11</v>
      </c>
      <c r="G17" s="171">
        <v>109</v>
      </c>
      <c r="H17" s="172">
        <v>0.23486111111111113</v>
      </c>
      <c r="I17" s="177" t="s">
        <v>575</v>
      </c>
      <c r="J17" s="173"/>
      <c r="K17" s="169"/>
      <c r="L17" s="171">
        <v>6</v>
      </c>
      <c r="M17" s="171">
        <v>63</v>
      </c>
      <c r="N17" s="172">
        <v>2.137625000000009E-2</v>
      </c>
      <c r="O17" s="177" t="s">
        <v>588</v>
      </c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 t="shared" si="1"/>
        <v>0.25623736111111123</v>
      </c>
      <c r="AE17" s="172">
        <f t="shared" si="2"/>
        <v>1.3544444444445469E-3</v>
      </c>
    </row>
    <row r="18" spans="2:31" ht="29.25" customHeight="1" x14ac:dyDescent="0.2">
      <c r="B18" s="53">
        <v>7</v>
      </c>
      <c r="C18" s="57" t="s">
        <v>43</v>
      </c>
      <c r="D18" s="225" t="str">
        <f t="shared" si="0"/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570</v>
      </c>
      <c r="J18" s="173"/>
      <c r="K18" s="169"/>
      <c r="L18" s="171">
        <v>7</v>
      </c>
      <c r="M18" s="171">
        <v>73</v>
      </c>
      <c r="N18" s="172">
        <v>2.151248842592602E-2</v>
      </c>
      <c r="O18" s="177" t="s">
        <v>601</v>
      </c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 t="shared" si="1"/>
        <v>0.25637359953703714</v>
      </c>
      <c r="AE18" s="172">
        <f t="shared" si="2"/>
        <v>1.4906828703704633E-3</v>
      </c>
    </row>
    <row r="19" spans="2:31" ht="29.25" customHeight="1" x14ac:dyDescent="0.2">
      <c r="B19" s="53">
        <v>8</v>
      </c>
      <c r="C19" s="57" t="s">
        <v>42</v>
      </c>
      <c r="D19" s="225" t="str">
        <f t="shared" si="0"/>
        <v xml:space="preserve">TJ FAVORIT BRNO </v>
      </c>
      <c r="E19" s="170"/>
      <c r="F19" s="171">
        <v>2</v>
      </c>
      <c r="G19" s="171">
        <v>91</v>
      </c>
      <c r="H19" s="172">
        <v>0.23464120370370373</v>
      </c>
      <c r="I19" s="177" t="s">
        <v>580</v>
      </c>
      <c r="J19" s="173"/>
      <c r="K19" s="169"/>
      <c r="L19" s="171">
        <v>9</v>
      </c>
      <c r="M19" s="171">
        <v>92</v>
      </c>
      <c r="N19" s="172">
        <v>2.1750949074074016E-2</v>
      </c>
      <c r="O19" s="177" t="s">
        <v>587</v>
      </c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89</v>
      </c>
      <c r="AC19" s="176"/>
      <c r="AD19" s="198">
        <f t="shared" si="1"/>
        <v>0.25639215277777772</v>
      </c>
      <c r="AE19" s="172">
        <f t="shared" si="2"/>
        <v>1.5092361111110342E-3</v>
      </c>
    </row>
    <row r="20" spans="2:31" ht="29.25" customHeight="1" x14ac:dyDescent="0.2">
      <c r="B20" s="53">
        <v>9</v>
      </c>
      <c r="C20" s="57" t="s">
        <v>360</v>
      </c>
      <c r="D20" s="225" t="str">
        <f t="shared" si="0"/>
        <v xml:space="preserve">RC ARBÖ WELS GOURMETFEIN, RLM WIEN, UNION RAIFFEISEN RADTEAM TIROL, RC WALDING, H.M. SPORT ČESKÝ KRUMLOV </v>
      </c>
      <c r="E20" s="170"/>
      <c r="F20" s="171">
        <v>16</v>
      </c>
      <c r="G20" s="171">
        <v>190</v>
      </c>
      <c r="H20" s="172">
        <v>0.23486111111111113</v>
      </c>
      <c r="I20" s="177" t="s">
        <v>574</v>
      </c>
      <c r="J20" s="173"/>
      <c r="K20" s="169"/>
      <c r="L20" s="171">
        <v>8</v>
      </c>
      <c r="M20" s="171">
        <v>88</v>
      </c>
      <c r="N20" s="172">
        <v>2.1682800925925838E-2</v>
      </c>
      <c r="O20" s="177" t="s">
        <v>594</v>
      </c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31</v>
      </c>
      <c r="AC20" s="176"/>
      <c r="AD20" s="198">
        <f t="shared" si="1"/>
        <v>0.25654391203703697</v>
      </c>
      <c r="AE20" s="172">
        <f t="shared" si="2"/>
        <v>1.6609953703702884E-3</v>
      </c>
    </row>
    <row r="21" spans="2:31" ht="29.25" customHeight="1" x14ac:dyDescent="0.2">
      <c r="B21" s="53">
        <v>10</v>
      </c>
      <c r="C21" s="57" t="s">
        <v>250</v>
      </c>
      <c r="D21" s="225" t="str">
        <f t="shared" si="0"/>
        <v>KC KOOPERATIVA SG JABLONEC N.N, KOLA-BBM.CZ</v>
      </c>
      <c r="E21" s="170"/>
      <c r="F21" s="171">
        <v>13</v>
      </c>
      <c r="G21" s="171">
        <v>114</v>
      </c>
      <c r="H21" s="172">
        <v>0.23486111111111113</v>
      </c>
      <c r="I21" s="177" t="s">
        <v>563</v>
      </c>
      <c r="J21" s="173"/>
      <c r="K21" s="169"/>
      <c r="L21" s="171">
        <v>10</v>
      </c>
      <c r="M21" s="171">
        <v>99</v>
      </c>
      <c r="N21" s="172">
        <v>2.1788888888888806E-2</v>
      </c>
      <c r="O21" s="177" t="s">
        <v>590</v>
      </c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 t="shared" si="1"/>
        <v>0.25664999999999993</v>
      </c>
      <c r="AE21" s="172">
        <f t="shared" si="2"/>
        <v>1.7670833333332525E-3</v>
      </c>
    </row>
    <row r="22" spans="2:31" ht="29.25" customHeight="1" x14ac:dyDescent="0.2">
      <c r="B22" s="53">
        <v>11</v>
      </c>
      <c r="C22" s="57" t="s">
        <v>381</v>
      </c>
      <c r="D22" s="225" t="str">
        <f t="shared" si="0"/>
        <v>RG BERLIN</v>
      </c>
      <c r="E22" s="170"/>
      <c r="F22" s="171">
        <v>6</v>
      </c>
      <c r="G22" s="171">
        <v>56</v>
      </c>
      <c r="H22" s="172">
        <v>0.23486111111111113</v>
      </c>
      <c r="I22" s="177" t="s">
        <v>568</v>
      </c>
      <c r="J22" s="173"/>
      <c r="K22" s="169"/>
      <c r="L22" s="171">
        <v>11</v>
      </c>
      <c r="M22" s="171">
        <v>108</v>
      </c>
      <c r="N22" s="172">
        <v>2.1874953703703796E-2</v>
      </c>
      <c r="O22" s="177" t="s">
        <v>596</v>
      </c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0.25673606481481492</v>
      </c>
      <c r="AE22" s="172">
        <f t="shared" si="2"/>
        <v>1.8531481481482426E-3</v>
      </c>
    </row>
    <row r="23" spans="2:31" ht="29.25" customHeight="1" x14ac:dyDescent="0.2">
      <c r="B23" s="53">
        <v>12</v>
      </c>
      <c r="C23" s="57" t="s">
        <v>100</v>
      </c>
      <c r="D23" s="225" t="str">
        <f t="shared" si="0"/>
        <v>SKC TUFO PROSTĚJOV, STEVENS ZNOJMO, KC HLINSKO, CK DACOM PHARMA KYJOV</v>
      </c>
      <c r="E23" s="170"/>
      <c r="F23" s="171">
        <v>17</v>
      </c>
      <c r="G23" s="171">
        <v>286</v>
      </c>
      <c r="H23" s="172">
        <v>0.23486111111111113</v>
      </c>
      <c r="I23" s="177" t="s">
        <v>578</v>
      </c>
      <c r="J23" s="173"/>
      <c r="K23" s="169"/>
      <c r="L23" s="171">
        <v>12</v>
      </c>
      <c r="M23" s="171">
        <v>104</v>
      </c>
      <c r="N23" s="172">
        <v>2.1901631944444333E-2</v>
      </c>
      <c r="O23" s="177" t="s">
        <v>599</v>
      </c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 t="shared" si="1"/>
        <v>0.25676274305555546</v>
      </c>
      <c r="AE23" s="172">
        <f t="shared" si="2"/>
        <v>1.8798263888887834E-3</v>
      </c>
    </row>
    <row r="24" spans="2:31" ht="29.25" customHeight="1" x14ac:dyDescent="0.2">
      <c r="B24" s="53">
        <v>13</v>
      </c>
      <c r="C24" s="57" t="s">
        <v>274</v>
      </c>
      <c r="D24" s="225" t="str">
        <f t="shared" si="0"/>
        <v xml:space="preserve">TJ STADION LOUNY , SKP DUHA FORT LANŠKROUN, NUTREND SPECIALIZED RACING , PROFI SPORT CHEB , TJ ZČE CYKLISTIKA PLZEŇ </v>
      </c>
      <c r="E24" s="170"/>
      <c r="F24" s="171">
        <v>5</v>
      </c>
      <c r="G24" s="171">
        <v>30</v>
      </c>
      <c r="H24" s="172">
        <v>0.23486111111111113</v>
      </c>
      <c r="I24" s="177" t="s">
        <v>566</v>
      </c>
      <c r="J24" s="173"/>
      <c r="K24" s="169"/>
      <c r="L24" s="171">
        <v>13</v>
      </c>
      <c r="M24" s="171">
        <v>138</v>
      </c>
      <c r="N24" s="172">
        <v>2.2218935185185168E-2</v>
      </c>
      <c r="O24" s="177" t="s">
        <v>592</v>
      </c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 t="shared" si="1"/>
        <v>0.25708004629629633</v>
      </c>
      <c r="AE24" s="172">
        <f t="shared" si="2"/>
        <v>2.1971296296296461E-3</v>
      </c>
    </row>
    <row r="25" spans="2:31" ht="29.25" customHeight="1" x14ac:dyDescent="0.2">
      <c r="B25" s="53">
        <v>14</v>
      </c>
      <c r="C25" s="57" t="s">
        <v>236</v>
      </c>
      <c r="D25" s="225" t="str">
        <f t="shared" si="0"/>
        <v xml:space="preserve">DSR AUTHOR GÓRNIK WAŁBRZYCH </v>
      </c>
      <c r="E25" s="170"/>
      <c r="F25" s="171">
        <v>9</v>
      </c>
      <c r="G25" s="171">
        <v>71</v>
      </c>
      <c r="H25" s="172">
        <v>0.23486111111111113</v>
      </c>
      <c r="I25" s="177" t="s">
        <v>579</v>
      </c>
      <c r="J25" s="173"/>
      <c r="K25" s="169"/>
      <c r="L25" s="171">
        <v>14</v>
      </c>
      <c r="M25" s="171">
        <v>169</v>
      </c>
      <c r="N25" s="172">
        <v>2.2597106481481465E-2</v>
      </c>
      <c r="O25" s="177" t="s">
        <v>589</v>
      </c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 t="shared" si="1"/>
        <v>0.25745821759259258</v>
      </c>
      <c r="AE25" s="172">
        <f t="shared" si="2"/>
        <v>2.5753009259258941E-3</v>
      </c>
    </row>
    <row r="26" spans="2:31" ht="29.25" customHeight="1" x14ac:dyDescent="0.2">
      <c r="B26" s="53">
        <v>15</v>
      </c>
      <c r="C26" s="57" t="s">
        <v>346</v>
      </c>
      <c r="D26" s="225" t="str">
        <f t="shared" si="0"/>
        <v xml:space="preserve">TJ KOVO PRAHA, VZW TIELTSE RENNERSCLUB - JG, SP KOLO LOAP SPECIALIZED </v>
      </c>
      <c r="E26" s="170"/>
      <c r="F26" s="171">
        <v>10</v>
      </c>
      <c r="G26" s="171">
        <v>92</v>
      </c>
      <c r="H26" s="172">
        <v>0.23486111111111113</v>
      </c>
      <c r="I26" s="177" t="s">
        <v>571</v>
      </c>
      <c r="J26" s="173"/>
      <c r="K26" s="169"/>
      <c r="L26" s="171">
        <v>15</v>
      </c>
      <c r="M26" s="171">
        <v>198</v>
      </c>
      <c r="N26" s="172">
        <v>2.290568287037038E-2</v>
      </c>
      <c r="O26" s="177" t="s">
        <v>591</v>
      </c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0.2577667939814815</v>
      </c>
      <c r="AE26" s="172">
        <f t="shared" si="2"/>
        <v>2.88387731481482E-3</v>
      </c>
    </row>
    <row r="27" spans="2:31" ht="29.25" customHeight="1" x14ac:dyDescent="0.2">
      <c r="B27" s="53">
        <v>16</v>
      </c>
      <c r="C27" s="57" t="s">
        <v>405</v>
      </c>
      <c r="D27" s="225" t="str">
        <f t="shared" si="0"/>
        <v>JUNIOREN SCHWALBE TEAM SACHSEN</v>
      </c>
      <c r="E27" s="170"/>
      <c r="F27" s="171">
        <v>8</v>
      </c>
      <c r="G27" s="171">
        <v>65</v>
      </c>
      <c r="H27" s="172">
        <v>0.23486111111111113</v>
      </c>
      <c r="I27" s="177" t="s">
        <v>567</v>
      </c>
      <c r="J27" s="173"/>
      <c r="K27" s="169"/>
      <c r="L27" s="171">
        <v>16</v>
      </c>
      <c r="M27" s="171">
        <v>207</v>
      </c>
      <c r="N27" s="172">
        <v>2.3000057870370322E-2</v>
      </c>
      <c r="O27" s="177" t="s">
        <v>598</v>
      </c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0.25786116898148148</v>
      </c>
      <c r="AE27" s="172">
        <f t="shared" si="2"/>
        <v>2.9782523148147999E-3</v>
      </c>
    </row>
    <row r="28" spans="2:31" ht="29.25" customHeight="1" x14ac:dyDescent="0.2">
      <c r="B28" s="53">
        <v>17</v>
      </c>
      <c r="C28" s="57" t="s">
        <v>332</v>
      </c>
      <c r="D28" s="225" t="str">
        <f t="shared" si="0"/>
        <v>REMERX - MERIDA TEAM KOLÍN, REMERX MERIDA TEAM JUNIOR, ALLTRAINING.CZ</v>
      </c>
      <c r="E28" s="170"/>
      <c r="F28" s="171">
        <v>15</v>
      </c>
      <c r="G28" s="171">
        <v>140</v>
      </c>
      <c r="H28" s="172">
        <v>0.23486111111111113</v>
      </c>
      <c r="I28" s="177" t="s">
        <v>573</v>
      </c>
      <c r="J28" s="173"/>
      <c r="K28" s="169"/>
      <c r="L28" s="171">
        <v>17</v>
      </c>
      <c r="M28" s="171">
        <v>206</v>
      </c>
      <c r="N28" s="172">
        <v>2.3034618055555494E-2</v>
      </c>
      <c r="O28" s="177" t="s">
        <v>595</v>
      </c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0.25789572916666664</v>
      </c>
      <c r="AE28" s="172">
        <f t="shared" si="2"/>
        <v>3.0128124999999617E-3</v>
      </c>
    </row>
    <row r="29" spans="2:31" ht="29.25" customHeight="1" x14ac:dyDescent="0.2">
      <c r="B29" s="53">
        <v>18</v>
      </c>
      <c r="C29" s="57" t="s">
        <v>452</v>
      </c>
      <c r="D29" s="225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600</v>
      </c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0.25880010416666671</v>
      </c>
      <c r="AE29" s="172">
        <f t="shared" si="2"/>
        <v>3.91718750000003E-3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</row>
    <row r="42" spans="2:31" ht="11.45" customHeight="1" x14ac:dyDescent="0.2">
      <c r="B42" s="255" t="s">
        <v>44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E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5"/>
  <sheetViews>
    <sheetView zoomScale="85" zoomScaleNormal="85" workbookViewId="0"/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256" t="str">
        <f>CTRL!B7</f>
        <v>R E G I O N E M   O R L I C K A   L A N Š K R O U N   2 0 1 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2:31" ht="15.75" x14ac:dyDescent="0.2">
      <c r="B2" s="250" t="str">
        <f>CTRL!B8</f>
        <v>28. ročník mezinárodního cyklistického závodu juniorů / 28th edition of international cycling race of juniors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1" ht="18.75" x14ac:dyDescent="0.3">
      <c r="C3" s="20"/>
      <c r="D3" s="251" t="str">
        <f>CTRL!B24</f>
        <v>po 3. etapě / after 3rd Stage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/>
      <c r="AE3" s="2" t="str">
        <f>"Com.no.: 22/" &amp; CTRL!B27</f>
        <v>Com.no.: 22/31</v>
      </c>
    </row>
    <row r="4" spans="2:31" x14ac:dyDescent="0.2">
      <c r="B4" s="13" t="str">
        <f>"Datum / Date: "&amp;TEXT(CTRL!B12,"dd.mm.rrrr")</f>
        <v>Datum / Date: 09.08.2014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254" t="s">
        <v>130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2:31" ht="9" customHeight="1" x14ac:dyDescent="0.2">
      <c r="C6" s="20"/>
      <c r="D6" s="1"/>
      <c r="AD6"/>
      <c r="AE6"/>
    </row>
    <row r="7" spans="2:31" x14ac:dyDescent="0.2">
      <c r="B7" s="248" t="s">
        <v>0</v>
      </c>
      <c r="C7" s="248" t="s">
        <v>12</v>
      </c>
      <c r="D7" s="248" t="s">
        <v>4</v>
      </c>
      <c r="E7" s="174"/>
      <c r="F7" s="298" t="s">
        <v>132</v>
      </c>
      <c r="G7" s="298"/>
      <c r="H7" s="298"/>
      <c r="I7" s="298"/>
      <c r="J7" s="248" t="s">
        <v>22</v>
      </c>
      <c r="K7" s="174"/>
      <c r="L7" s="298" t="s">
        <v>23</v>
      </c>
      <c r="M7" s="298"/>
      <c r="N7" s="298"/>
      <c r="O7" s="298"/>
      <c r="P7" s="248" t="s">
        <v>23</v>
      </c>
      <c r="Q7" s="174"/>
      <c r="R7" s="298" t="s">
        <v>24</v>
      </c>
      <c r="S7" s="298"/>
      <c r="T7" s="298"/>
      <c r="U7" s="298"/>
      <c r="V7" s="248" t="s">
        <v>24</v>
      </c>
      <c r="W7" s="174"/>
      <c r="X7" s="298" t="s">
        <v>25</v>
      </c>
      <c r="Y7" s="298"/>
      <c r="Z7" s="298"/>
      <c r="AA7" s="298"/>
      <c r="AB7" s="248" t="s">
        <v>25</v>
      </c>
      <c r="AC7" s="174"/>
      <c r="AD7" s="248" t="s">
        <v>26</v>
      </c>
      <c r="AE7" s="248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297" t="s">
        <v>129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313" t="str">
        <f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586</v>
      </c>
      <c r="P12" s="173"/>
      <c r="Q12" s="170"/>
      <c r="R12" s="171">
        <v>4</v>
      </c>
      <c r="S12" s="171">
        <v>53</v>
      </c>
      <c r="T12" s="172">
        <v>0.23317129629629629</v>
      </c>
      <c r="U12" s="177" t="s">
        <v>632</v>
      </c>
      <c r="V12" s="173"/>
      <c r="W12" s="170"/>
      <c r="X12" s="171"/>
      <c r="Y12" s="171"/>
      <c r="Z12" s="172"/>
      <c r="AA12" s="177"/>
      <c r="AB12" s="173">
        <v>55</v>
      </c>
      <c r="AC12" s="176"/>
      <c r="AD12" s="198">
        <f>H12+N12+T12+Z12</f>
        <v>0.48805421296296297</v>
      </c>
      <c r="AE12" s="172">
        <f>AD12-$AD$12</f>
        <v>0</v>
      </c>
    </row>
    <row r="13" spans="2:31" ht="29.25" customHeight="1" x14ac:dyDescent="0.2">
      <c r="B13" s="53">
        <v>2</v>
      </c>
      <c r="C13" s="57" t="s">
        <v>43</v>
      </c>
      <c r="D13" s="313" t="str">
        <f>VLOOKUP(C13,ODDIL,2,0)</f>
        <v xml:space="preserve">SLOVAK CYCLING FEDERATION </v>
      </c>
      <c r="E13" s="170"/>
      <c r="F13" s="171">
        <v>7</v>
      </c>
      <c r="G13" s="171">
        <v>63</v>
      </c>
      <c r="H13" s="172">
        <v>0.23486111111111113</v>
      </c>
      <c r="I13" s="177" t="s">
        <v>570</v>
      </c>
      <c r="J13" s="173"/>
      <c r="K13" s="169"/>
      <c r="L13" s="171">
        <v>7</v>
      </c>
      <c r="M13" s="171">
        <v>73</v>
      </c>
      <c r="N13" s="172">
        <v>2.151248842592602E-2</v>
      </c>
      <c r="O13" s="177" t="s">
        <v>601</v>
      </c>
      <c r="P13" s="173"/>
      <c r="Q13" s="170"/>
      <c r="R13" s="171">
        <v>1</v>
      </c>
      <c r="S13" s="171">
        <v>26</v>
      </c>
      <c r="T13" s="172">
        <v>0.23180555555555554</v>
      </c>
      <c r="U13" s="177" t="s">
        <v>647</v>
      </c>
      <c r="V13" s="173"/>
      <c r="W13" s="170"/>
      <c r="X13" s="171"/>
      <c r="Y13" s="171"/>
      <c r="Z13" s="172"/>
      <c r="AA13" s="177"/>
      <c r="AB13" s="173">
        <v>44</v>
      </c>
      <c r="AC13" s="176"/>
      <c r="AD13" s="198">
        <f>H13+N13+T13+Z13</f>
        <v>0.48817915509259269</v>
      </c>
      <c r="AE13" s="172">
        <f>AD13-$AD$12</f>
        <v>1.2494212962971263E-4</v>
      </c>
    </row>
    <row r="14" spans="2:31" ht="29.25" customHeight="1" x14ac:dyDescent="0.2">
      <c r="B14" s="53">
        <v>3</v>
      </c>
      <c r="C14" s="57" t="s">
        <v>250</v>
      </c>
      <c r="D14" s="313" t="str">
        <f>VLOOKUP(C14,ODDIL,2,0)</f>
        <v>KC KOOPERATIVA SG JABLONEC N.N, KOLA-BBM.CZ</v>
      </c>
      <c r="E14" s="170"/>
      <c r="F14" s="171">
        <v>13</v>
      </c>
      <c r="G14" s="171">
        <v>114</v>
      </c>
      <c r="H14" s="172">
        <v>0.23486111111111113</v>
      </c>
      <c r="I14" s="177" t="s">
        <v>563</v>
      </c>
      <c r="J14" s="173"/>
      <c r="K14" s="169"/>
      <c r="L14" s="171">
        <v>10</v>
      </c>
      <c r="M14" s="171">
        <v>99</v>
      </c>
      <c r="N14" s="172">
        <v>2.1788888888888806E-2</v>
      </c>
      <c r="O14" s="177" t="s">
        <v>590</v>
      </c>
      <c r="P14" s="173"/>
      <c r="Q14" s="170"/>
      <c r="R14" s="171">
        <v>3</v>
      </c>
      <c r="S14" s="171">
        <v>52</v>
      </c>
      <c r="T14" s="172">
        <v>0.23297453703703702</v>
      </c>
      <c r="U14" s="177" t="s">
        <v>636</v>
      </c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>H14+N14+T14+Z14</f>
        <v>0.48962453703703696</v>
      </c>
      <c r="AE14" s="172">
        <f>AD14-$AD$12</f>
        <v>1.570324074073981E-3</v>
      </c>
    </row>
    <row r="15" spans="2:31" ht="29.25" customHeight="1" x14ac:dyDescent="0.2">
      <c r="B15" s="53">
        <v>4</v>
      </c>
      <c r="C15" s="57" t="s">
        <v>274</v>
      </c>
      <c r="D15" s="313" t="str">
        <f>VLOOKUP(C15,ODDIL,2,0)</f>
        <v xml:space="preserve">TJ STADION LOUNY , SKP DUHA FORT LANŠKROUN, NUTREND SPECIALIZED RACING , PROFI SPORT CHEB , TJ ZČE CYKLISTIKA PLZEŇ </v>
      </c>
      <c r="E15" s="170"/>
      <c r="F15" s="171">
        <v>5</v>
      </c>
      <c r="G15" s="171">
        <v>30</v>
      </c>
      <c r="H15" s="172">
        <v>0.23486111111111113</v>
      </c>
      <c r="I15" s="177" t="s">
        <v>566</v>
      </c>
      <c r="J15" s="173"/>
      <c r="K15" s="169"/>
      <c r="L15" s="171">
        <v>13</v>
      </c>
      <c r="M15" s="171">
        <v>138</v>
      </c>
      <c r="N15" s="172">
        <v>2.2218935185185168E-2</v>
      </c>
      <c r="O15" s="177" t="s">
        <v>592</v>
      </c>
      <c r="P15" s="173"/>
      <c r="Q15" s="170"/>
      <c r="R15" s="171">
        <v>2</v>
      </c>
      <c r="S15" s="171">
        <v>43</v>
      </c>
      <c r="T15" s="172">
        <v>0.23297453703703702</v>
      </c>
      <c r="U15" s="177" t="s">
        <v>638</v>
      </c>
      <c r="V15" s="173"/>
      <c r="W15" s="170"/>
      <c r="X15" s="171"/>
      <c r="Y15" s="171"/>
      <c r="Z15" s="172"/>
      <c r="AA15" s="177"/>
      <c r="AB15" s="173">
        <v>53</v>
      </c>
      <c r="AC15" s="176"/>
      <c r="AD15" s="198">
        <f>H15+N15+T15+Z15</f>
        <v>0.49005458333333335</v>
      </c>
      <c r="AE15" s="172">
        <f>AD15-$AD$12</f>
        <v>2.0003703703703746E-3</v>
      </c>
    </row>
    <row r="16" spans="2:31" ht="29.25" customHeight="1" x14ac:dyDescent="0.2">
      <c r="B16" s="53">
        <v>5</v>
      </c>
      <c r="C16" s="57" t="s">
        <v>310</v>
      </c>
      <c r="D16" s="313" t="str">
        <f>VLOOKUP(C16,ODDIL,2,0)</f>
        <v xml:space="preserve">MAPEI CYKLO KAŇKOVSKÝ </v>
      </c>
      <c r="E16" s="170"/>
      <c r="F16" s="171">
        <v>3</v>
      </c>
      <c r="G16" s="171">
        <v>154</v>
      </c>
      <c r="H16" s="172">
        <v>0.23464120370370373</v>
      </c>
      <c r="I16" s="177" t="s">
        <v>576</v>
      </c>
      <c r="J16" s="173"/>
      <c r="K16" s="169"/>
      <c r="L16" s="171">
        <v>5</v>
      </c>
      <c r="M16" s="171">
        <v>62</v>
      </c>
      <c r="N16" s="172">
        <v>2.1363032407407494E-2</v>
      </c>
      <c r="O16" s="177" t="s">
        <v>593</v>
      </c>
      <c r="P16" s="173"/>
      <c r="Q16" s="170"/>
      <c r="R16" s="171">
        <v>6</v>
      </c>
      <c r="S16" s="171">
        <v>61</v>
      </c>
      <c r="T16" s="172">
        <v>0.2341435185185185</v>
      </c>
      <c r="U16" s="177" t="s">
        <v>640</v>
      </c>
      <c r="V16" s="173"/>
      <c r="W16" s="170"/>
      <c r="X16" s="171"/>
      <c r="Y16" s="171"/>
      <c r="Z16" s="172"/>
      <c r="AA16" s="177"/>
      <c r="AB16" s="173">
        <v>73</v>
      </c>
      <c r="AC16" s="176"/>
      <c r="AD16" s="198">
        <f>H16+N16+T16+Z16</f>
        <v>0.49014775462962973</v>
      </c>
      <c r="AE16" s="172">
        <f>AD16-$AD$12</f>
        <v>2.0935416666667539E-3</v>
      </c>
    </row>
    <row r="17" spans="2:31" ht="29.25" customHeight="1" x14ac:dyDescent="0.2">
      <c r="B17" s="53">
        <v>6</v>
      </c>
      <c r="C17" s="57" t="s">
        <v>100</v>
      </c>
      <c r="D17" s="313" t="str">
        <f>VLOOKUP(C17,ODDIL,2,0)</f>
        <v>SKC TUFO PROSTĚJOV, STEVENS ZNOJMO, KC HLINSKO, CK DACOM PHARMA KYJOV</v>
      </c>
      <c r="E17" s="170"/>
      <c r="F17" s="171">
        <v>17</v>
      </c>
      <c r="G17" s="171">
        <v>286</v>
      </c>
      <c r="H17" s="172">
        <v>0.23486111111111113</v>
      </c>
      <c r="I17" s="177" t="s">
        <v>578</v>
      </c>
      <c r="J17" s="173"/>
      <c r="K17" s="169"/>
      <c r="L17" s="171">
        <v>12</v>
      </c>
      <c r="M17" s="171">
        <v>104</v>
      </c>
      <c r="N17" s="172">
        <v>2.1901631944444333E-2</v>
      </c>
      <c r="O17" s="177" t="s">
        <v>599</v>
      </c>
      <c r="P17" s="173"/>
      <c r="Q17" s="170"/>
      <c r="R17" s="171">
        <v>7</v>
      </c>
      <c r="S17" s="171">
        <v>82</v>
      </c>
      <c r="T17" s="172">
        <v>0.2341435185185185</v>
      </c>
      <c r="U17" s="177" t="s">
        <v>567</v>
      </c>
      <c r="V17" s="173"/>
      <c r="W17" s="170"/>
      <c r="X17" s="171"/>
      <c r="Y17" s="171"/>
      <c r="Z17" s="172"/>
      <c r="AA17" s="177"/>
      <c r="AB17" s="173">
        <v>34</v>
      </c>
      <c r="AC17" s="176"/>
      <c r="AD17" s="198">
        <f>H17+N17+T17+Z17</f>
        <v>0.49090626157407397</v>
      </c>
      <c r="AE17" s="172">
        <f>AD17-$AD$12</f>
        <v>2.8520486111109911E-3</v>
      </c>
    </row>
    <row r="18" spans="2:31" ht="29.25" customHeight="1" x14ac:dyDescent="0.2">
      <c r="B18" s="53">
        <v>7</v>
      </c>
      <c r="C18" s="57" t="s">
        <v>211</v>
      </c>
      <c r="D18" s="226" t="str">
        <f>VLOOKUP(C18,ODDIL,2,0)</f>
        <v xml:space="preserve">GRUPA KOLARSKA GLIWICE BA, ACK STARÁ VES NAD ONDŘEJNICÍ , KLUCZBORK, CK FESO PETŘVALD, TJ SIGMA HRANICE , SK JIŘÍ TEAM OSTRAVA </v>
      </c>
      <c r="E18" s="170"/>
      <c r="F18" s="171">
        <v>11</v>
      </c>
      <c r="G18" s="171">
        <v>109</v>
      </c>
      <c r="H18" s="172">
        <v>0.23486111111111113</v>
      </c>
      <c r="I18" s="177" t="s">
        <v>575</v>
      </c>
      <c r="J18" s="173"/>
      <c r="K18" s="169"/>
      <c r="L18" s="171">
        <v>6</v>
      </c>
      <c r="M18" s="171">
        <v>63</v>
      </c>
      <c r="N18" s="172">
        <v>2.137625000000009E-2</v>
      </c>
      <c r="O18" s="177" t="s">
        <v>588</v>
      </c>
      <c r="P18" s="173"/>
      <c r="Q18" s="170"/>
      <c r="R18" s="171">
        <v>9</v>
      </c>
      <c r="S18" s="171">
        <v>102</v>
      </c>
      <c r="T18" s="172">
        <v>0.23499999999999999</v>
      </c>
      <c r="U18" s="177" t="s">
        <v>634</v>
      </c>
      <c r="V18" s="173"/>
      <c r="W18" s="170"/>
      <c r="X18" s="171"/>
      <c r="Y18" s="171"/>
      <c r="Z18" s="172"/>
      <c r="AA18" s="177"/>
      <c r="AB18" s="173">
        <v>31</v>
      </c>
      <c r="AC18" s="176"/>
      <c r="AD18" s="198">
        <f>H18+N18+T18+Z18</f>
        <v>0.49123736111111121</v>
      </c>
      <c r="AE18" s="172">
        <f>AD18-$AD$12</f>
        <v>3.1831481481482404E-3</v>
      </c>
    </row>
    <row r="19" spans="2:31" ht="29.25" customHeight="1" x14ac:dyDescent="0.2">
      <c r="B19" s="53">
        <v>8</v>
      </c>
      <c r="C19" s="57" t="s">
        <v>99</v>
      </c>
      <c r="D19" s="313" t="str">
        <f>VLOOKUP(C19,ODDIL,2,0)</f>
        <v>RUSSIAN CYCLING FEDERATION</v>
      </c>
      <c r="E19" s="170"/>
      <c r="F19" s="171">
        <v>14</v>
      </c>
      <c r="G19" s="171">
        <v>135</v>
      </c>
      <c r="H19" s="172">
        <v>0.23486111111111113</v>
      </c>
      <c r="I19" s="177" t="s">
        <v>569</v>
      </c>
      <c r="J19" s="173"/>
      <c r="K19" s="169"/>
      <c r="L19" s="171">
        <v>3</v>
      </c>
      <c r="M19" s="171">
        <v>41</v>
      </c>
      <c r="N19" s="172">
        <v>2.1087662037036978E-2</v>
      </c>
      <c r="O19" s="177" t="s">
        <v>597</v>
      </c>
      <c r="P19" s="173"/>
      <c r="Q19" s="170"/>
      <c r="R19" s="171">
        <v>10</v>
      </c>
      <c r="S19" s="171">
        <v>58</v>
      </c>
      <c r="T19" s="172">
        <v>0.23531250000000004</v>
      </c>
      <c r="U19" s="177" t="s">
        <v>644</v>
      </c>
      <c r="V19" s="173"/>
      <c r="W19" s="170"/>
      <c r="X19" s="171"/>
      <c r="Y19" s="171"/>
      <c r="Z19" s="172"/>
      <c r="AA19" s="177"/>
      <c r="AB19" s="173">
        <v>98</v>
      </c>
      <c r="AC19" s="176"/>
      <c r="AD19" s="198">
        <f>H19+N19+T19+Z19</f>
        <v>0.49126127314814816</v>
      </c>
      <c r="AE19" s="172">
        <f>AD19-$AD$12</f>
        <v>3.2070601851851843E-3</v>
      </c>
    </row>
    <row r="20" spans="2:31" ht="29.25" customHeight="1" x14ac:dyDescent="0.2">
      <c r="B20" s="53">
        <v>9</v>
      </c>
      <c r="C20" s="57" t="s">
        <v>294</v>
      </c>
      <c r="D20" s="313" t="str">
        <f>VLOOKUP(C20,ODDIL,2,0)</f>
        <v xml:space="preserve">LRV STEIERMARK </v>
      </c>
      <c r="E20" s="170"/>
      <c r="F20" s="171">
        <v>12</v>
      </c>
      <c r="G20" s="171">
        <v>110</v>
      </c>
      <c r="H20" s="172">
        <v>0.23486111111111113</v>
      </c>
      <c r="I20" s="177" t="s">
        <v>565</v>
      </c>
      <c r="J20" s="173"/>
      <c r="K20" s="169"/>
      <c r="L20" s="171">
        <v>4</v>
      </c>
      <c r="M20" s="171">
        <v>59</v>
      </c>
      <c r="N20" s="172">
        <v>2.1194166666666708E-2</v>
      </c>
      <c r="O20" s="177" t="s">
        <v>571</v>
      </c>
      <c r="P20" s="173"/>
      <c r="Q20" s="170"/>
      <c r="R20" s="171">
        <v>12</v>
      </c>
      <c r="S20" s="171">
        <v>99</v>
      </c>
      <c r="T20" s="172">
        <v>0.23531250000000004</v>
      </c>
      <c r="U20" s="177" t="s">
        <v>639</v>
      </c>
      <c r="V20" s="173"/>
      <c r="W20" s="170"/>
      <c r="X20" s="171"/>
      <c r="Y20" s="171"/>
      <c r="Z20" s="172"/>
      <c r="AA20" s="177"/>
      <c r="AB20" s="173">
        <v>100</v>
      </c>
      <c r="AC20" s="176"/>
      <c r="AD20" s="198">
        <f>H20+N20+T20+Z20</f>
        <v>0.49136777777777785</v>
      </c>
      <c r="AE20" s="172">
        <f>AD20-$AD$12</f>
        <v>3.3135648148148733E-3</v>
      </c>
    </row>
    <row r="21" spans="2:31" ht="29.25" customHeight="1" x14ac:dyDescent="0.2">
      <c r="B21" s="53">
        <v>10</v>
      </c>
      <c r="C21" s="57" t="s">
        <v>360</v>
      </c>
      <c r="D21" s="313" t="str">
        <f>VLOOKUP(C21,ODDIL,2,0)</f>
        <v xml:space="preserve">RC ARBÖ WELS GOURMETFEIN, RLM WIEN, UNION RAIFFEISEN RADTEAM TIROL, RC WALDING, H.M. SPORT ČESKÝ KRUMLOV </v>
      </c>
      <c r="E21" s="170"/>
      <c r="F21" s="171">
        <v>16</v>
      </c>
      <c r="G21" s="171">
        <v>190</v>
      </c>
      <c r="H21" s="172">
        <v>0.23486111111111113</v>
      </c>
      <c r="I21" s="177" t="s">
        <v>574</v>
      </c>
      <c r="J21" s="173"/>
      <c r="K21" s="169"/>
      <c r="L21" s="171">
        <v>8</v>
      </c>
      <c r="M21" s="171">
        <v>88</v>
      </c>
      <c r="N21" s="172">
        <v>2.1682800925925838E-2</v>
      </c>
      <c r="O21" s="177" t="s">
        <v>594</v>
      </c>
      <c r="P21" s="173"/>
      <c r="Q21" s="170"/>
      <c r="R21" s="171">
        <v>8</v>
      </c>
      <c r="S21" s="171">
        <v>86</v>
      </c>
      <c r="T21" s="172">
        <v>0.23499999999999999</v>
      </c>
      <c r="U21" s="177" t="s">
        <v>641</v>
      </c>
      <c r="V21" s="173"/>
      <c r="W21" s="170"/>
      <c r="X21" s="171"/>
      <c r="Y21" s="171"/>
      <c r="Z21" s="172"/>
      <c r="AA21" s="177"/>
      <c r="AB21" s="173">
        <v>89</v>
      </c>
      <c r="AC21" s="176"/>
      <c r="AD21" s="198">
        <f>H21+N21+T21+Z21</f>
        <v>0.49154391203703696</v>
      </c>
      <c r="AE21" s="172">
        <f>AD21-$AD$12</f>
        <v>3.4896990740739819E-3</v>
      </c>
    </row>
    <row r="22" spans="2:31" ht="29.25" customHeight="1" x14ac:dyDescent="0.2">
      <c r="B22" s="53">
        <v>11</v>
      </c>
      <c r="C22" s="57" t="s">
        <v>42</v>
      </c>
      <c r="D22" s="313" t="str">
        <f>VLOOKUP(C22,ODDIL,2,0)</f>
        <v xml:space="preserve">TJ FAVORIT BRNO </v>
      </c>
      <c r="E22" s="170"/>
      <c r="F22" s="171">
        <v>2</v>
      </c>
      <c r="G22" s="171">
        <v>91</v>
      </c>
      <c r="H22" s="172">
        <v>0.23464120370370373</v>
      </c>
      <c r="I22" s="177" t="s">
        <v>580</v>
      </c>
      <c r="J22" s="173"/>
      <c r="K22" s="169"/>
      <c r="L22" s="171">
        <v>9</v>
      </c>
      <c r="M22" s="171">
        <v>92</v>
      </c>
      <c r="N22" s="172">
        <v>2.1750949074074016E-2</v>
      </c>
      <c r="O22" s="177" t="s">
        <v>587</v>
      </c>
      <c r="P22" s="173"/>
      <c r="Q22" s="170"/>
      <c r="R22" s="171">
        <v>11</v>
      </c>
      <c r="S22" s="171">
        <v>94</v>
      </c>
      <c r="T22" s="172">
        <v>0.23531250000000004</v>
      </c>
      <c r="U22" s="177" t="s">
        <v>633</v>
      </c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>H22+N22+T22+Z22</f>
        <v>0.49170465277777775</v>
      </c>
      <c r="AE22" s="172">
        <f>AD22-$AD$12</f>
        <v>3.6504398148147765E-3</v>
      </c>
    </row>
    <row r="23" spans="2:31" ht="29.25" customHeight="1" x14ac:dyDescent="0.2">
      <c r="B23" s="53">
        <v>12</v>
      </c>
      <c r="C23" s="57" t="s">
        <v>346</v>
      </c>
      <c r="D23" s="313" t="str">
        <f>VLOOKUP(C23,ODDIL,2,0)</f>
        <v xml:space="preserve">TJ KOVO PRAHA, VZW TIELTSE RENNERSCLUB - JG, SP KOLO LOAP SPECIALIZED </v>
      </c>
      <c r="E23" s="170"/>
      <c r="F23" s="171">
        <v>10</v>
      </c>
      <c r="G23" s="171">
        <v>92</v>
      </c>
      <c r="H23" s="172">
        <v>0.23486111111111113</v>
      </c>
      <c r="I23" s="177" t="s">
        <v>571</v>
      </c>
      <c r="J23" s="173"/>
      <c r="K23" s="169"/>
      <c r="L23" s="171">
        <v>15</v>
      </c>
      <c r="M23" s="171">
        <v>198</v>
      </c>
      <c r="N23" s="172">
        <v>2.290568287037038E-2</v>
      </c>
      <c r="O23" s="177" t="s">
        <v>591</v>
      </c>
      <c r="P23" s="173"/>
      <c r="Q23" s="170"/>
      <c r="R23" s="171">
        <v>5</v>
      </c>
      <c r="S23" s="171">
        <v>48</v>
      </c>
      <c r="T23" s="172">
        <v>0.2341435185185185</v>
      </c>
      <c r="U23" s="177" t="s">
        <v>637</v>
      </c>
      <c r="V23" s="173"/>
      <c r="W23" s="170"/>
      <c r="X23" s="171"/>
      <c r="Y23" s="171"/>
      <c r="Z23" s="172"/>
      <c r="AA23" s="177"/>
      <c r="AB23" s="173">
        <v>145</v>
      </c>
      <c r="AC23" s="176"/>
      <c r="AD23" s="198">
        <f>H23+N23+T23+Z23</f>
        <v>0.4919103125</v>
      </c>
      <c r="AE23" s="172">
        <f>AD23-$AD$12</f>
        <v>3.8560995370370277E-3</v>
      </c>
    </row>
    <row r="24" spans="2:31" ht="29.25" customHeight="1" x14ac:dyDescent="0.2">
      <c r="B24" s="53">
        <v>13</v>
      </c>
      <c r="C24" s="57" t="s">
        <v>478</v>
      </c>
      <c r="D24" s="313" t="str">
        <f>VLOOKUP(C24,ODDIL,2,0)</f>
        <v>RSC TURBINE ERFURT, RSV SONNEBERG, RV ELXLEBEN, 1.RSV 1886 GREIZ</v>
      </c>
      <c r="E24" s="170"/>
      <c r="F24" s="171">
        <v>4</v>
      </c>
      <c r="G24" s="171">
        <v>171</v>
      </c>
      <c r="H24" s="172">
        <v>0.23464120370370373</v>
      </c>
      <c r="I24" s="177" t="s">
        <v>577</v>
      </c>
      <c r="J24" s="173"/>
      <c r="K24" s="169"/>
      <c r="L24" s="171">
        <v>2</v>
      </c>
      <c r="M24" s="171">
        <v>36</v>
      </c>
      <c r="N24" s="172">
        <v>2.1020150462962919E-2</v>
      </c>
      <c r="O24" s="177" t="s">
        <v>602</v>
      </c>
      <c r="P24" s="173"/>
      <c r="Q24" s="170"/>
      <c r="R24" s="171">
        <v>14</v>
      </c>
      <c r="S24" s="171">
        <v>118</v>
      </c>
      <c r="T24" s="172">
        <v>0.23708333333333337</v>
      </c>
      <c r="U24" s="177" t="s">
        <v>648</v>
      </c>
      <c r="V24" s="173"/>
      <c r="W24" s="170"/>
      <c r="X24" s="171"/>
      <c r="Y24" s="171"/>
      <c r="Z24" s="172"/>
      <c r="AA24" s="177"/>
      <c r="AB24" s="173">
        <v>152</v>
      </c>
      <c r="AC24" s="176"/>
      <c r="AD24" s="198">
        <f>H24+N24+T24+Z24</f>
        <v>0.4927446875</v>
      </c>
      <c r="AE24" s="172">
        <f>AD24-$AD$12</f>
        <v>4.690474537037026E-3</v>
      </c>
    </row>
    <row r="25" spans="2:31" ht="29.25" customHeight="1" x14ac:dyDescent="0.2">
      <c r="B25" s="53">
        <v>14</v>
      </c>
      <c r="C25" s="57" t="s">
        <v>405</v>
      </c>
      <c r="D25" s="313" t="str">
        <f>VLOOKUP(C25,ODDIL,2,0)</f>
        <v>JUNIOREN SCHWALBE TEAM SACHSEN</v>
      </c>
      <c r="E25" s="170"/>
      <c r="F25" s="171">
        <v>8</v>
      </c>
      <c r="G25" s="171">
        <v>65</v>
      </c>
      <c r="H25" s="172">
        <v>0.23486111111111113</v>
      </c>
      <c r="I25" s="177" t="s">
        <v>567</v>
      </c>
      <c r="J25" s="173"/>
      <c r="K25" s="169"/>
      <c r="L25" s="171">
        <v>16</v>
      </c>
      <c r="M25" s="171">
        <v>207</v>
      </c>
      <c r="N25" s="172">
        <v>2.3000057870370322E-2</v>
      </c>
      <c r="O25" s="177" t="s">
        <v>598</v>
      </c>
      <c r="P25" s="173"/>
      <c r="Q25" s="170"/>
      <c r="R25" s="171">
        <v>13</v>
      </c>
      <c r="S25" s="171">
        <v>117</v>
      </c>
      <c r="T25" s="172">
        <v>0.23702546296296295</v>
      </c>
      <c r="U25" s="177" t="s">
        <v>645</v>
      </c>
      <c r="V25" s="173"/>
      <c r="W25" s="170"/>
      <c r="X25" s="171"/>
      <c r="Y25" s="171"/>
      <c r="Z25" s="172"/>
      <c r="AA25" s="177"/>
      <c r="AB25" s="173">
        <v>112</v>
      </c>
      <c r="AC25" s="176"/>
      <c r="AD25" s="198">
        <f>H25+N25+T25+Z25</f>
        <v>0.49488663194444443</v>
      </c>
      <c r="AE25" s="172">
        <f>AD25-$AD$12</f>
        <v>6.8324189814814584E-3</v>
      </c>
    </row>
    <row r="26" spans="2:31" ht="29.25" customHeight="1" x14ac:dyDescent="0.2">
      <c r="B26" s="53">
        <v>15</v>
      </c>
      <c r="C26" s="57" t="s">
        <v>381</v>
      </c>
      <c r="D26" s="313" t="str">
        <f>VLOOKUP(C26,ODDIL,2,0)</f>
        <v>RG BERLIN</v>
      </c>
      <c r="E26" s="170"/>
      <c r="F26" s="171">
        <v>6</v>
      </c>
      <c r="G26" s="171">
        <v>56</v>
      </c>
      <c r="H26" s="172">
        <v>0.23486111111111113</v>
      </c>
      <c r="I26" s="177" t="s">
        <v>568</v>
      </c>
      <c r="J26" s="173"/>
      <c r="K26" s="169"/>
      <c r="L26" s="171">
        <v>11</v>
      </c>
      <c r="M26" s="171">
        <v>108</v>
      </c>
      <c r="N26" s="172">
        <v>2.1874953703703796E-2</v>
      </c>
      <c r="O26" s="177" t="s">
        <v>596</v>
      </c>
      <c r="P26" s="173"/>
      <c r="Q26" s="170"/>
      <c r="R26" s="171">
        <v>15</v>
      </c>
      <c r="S26" s="171">
        <v>176</v>
      </c>
      <c r="T26" s="172">
        <v>0.23966435185185186</v>
      </c>
      <c r="U26" s="177" t="s">
        <v>643</v>
      </c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>H26+N26+T26+Z26</f>
        <v>0.49640041666666679</v>
      </c>
      <c r="AE26" s="172">
        <f>AD26-$AD$12</f>
        <v>8.3462037037038139E-3</v>
      </c>
    </row>
    <row r="27" spans="2:31" ht="29.25" customHeight="1" x14ac:dyDescent="0.2">
      <c r="B27" s="53">
        <v>16</v>
      </c>
      <c r="C27" s="57" t="s">
        <v>332</v>
      </c>
      <c r="D27" s="313" t="str">
        <f>VLOOKUP(C27,ODDIL,2,0)</f>
        <v>REMERX - MERIDA TEAM KOLÍN, REMERX MERIDA TEAM JUNIOR, ALLTRAINING.CZ</v>
      </c>
      <c r="E27" s="170"/>
      <c r="F27" s="171">
        <v>15</v>
      </c>
      <c r="G27" s="171">
        <v>140</v>
      </c>
      <c r="H27" s="172">
        <v>0.23486111111111113</v>
      </c>
      <c r="I27" s="177" t="s">
        <v>573</v>
      </c>
      <c r="J27" s="173"/>
      <c r="K27" s="169"/>
      <c r="L27" s="171">
        <v>17</v>
      </c>
      <c r="M27" s="171">
        <v>206</v>
      </c>
      <c r="N27" s="172">
        <v>2.3034618055555494E-2</v>
      </c>
      <c r="O27" s="177" t="s">
        <v>595</v>
      </c>
      <c r="P27" s="173"/>
      <c r="Q27" s="170"/>
      <c r="R27" s="171">
        <v>16</v>
      </c>
      <c r="S27" s="171">
        <v>185</v>
      </c>
      <c r="T27" s="172">
        <v>0.24031250000000001</v>
      </c>
      <c r="U27" s="177" t="s">
        <v>642</v>
      </c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>H27+N27+T27+Z27</f>
        <v>0.49820822916666663</v>
      </c>
      <c r="AE27" s="172">
        <f>AD27-$AD$12</f>
        <v>1.0154016203703653E-2</v>
      </c>
    </row>
    <row r="28" spans="2:31" ht="29.25" customHeight="1" x14ac:dyDescent="0.2">
      <c r="B28" s="53">
        <v>17</v>
      </c>
      <c r="C28" s="57" t="s">
        <v>236</v>
      </c>
      <c r="D28" s="313" t="str">
        <f>VLOOKUP(C28,ODDIL,2,0)</f>
        <v xml:space="preserve">DSR AUTHOR GÓRNIK WAŁBRZYCH </v>
      </c>
      <c r="E28" s="170"/>
      <c r="F28" s="171">
        <v>9</v>
      </c>
      <c r="G28" s="171">
        <v>71</v>
      </c>
      <c r="H28" s="172">
        <v>0.23486111111111113</v>
      </c>
      <c r="I28" s="177" t="s">
        <v>579</v>
      </c>
      <c r="J28" s="173"/>
      <c r="K28" s="169"/>
      <c r="L28" s="171">
        <v>14</v>
      </c>
      <c r="M28" s="171">
        <v>169</v>
      </c>
      <c r="N28" s="172">
        <v>2.2597106481481465E-2</v>
      </c>
      <c r="O28" s="177" t="s">
        <v>589</v>
      </c>
      <c r="P28" s="173"/>
      <c r="Q28" s="170"/>
      <c r="R28" s="171">
        <v>17</v>
      </c>
      <c r="S28" s="171">
        <v>239</v>
      </c>
      <c r="T28" s="172">
        <v>0.24217592592592591</v>
      </c>
      <c r="U28" s="177" t="s">
        <v>635</v>
      </c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>H28+N28+T28+Z28</f>
        <v>0.49963414351851848</v>
      </c>
      <c r="AE28" s="172">
        <f>AD28-$AD$12</f>
        <v>1.1579930555555507E-2</v>
      </c>
    </row>
    <row r="29" spans="2:31" ht="29.25" customHeight="1" x14ac:dyDescent="0.2">
      <c r="B29" s="53">
        <v>18</v>
      </c>
      <c r="C29" s="57" t="s">
        <v>452</v>
      </c>
      <c r="D29" s="313" t="str">
        <f>VLOOKUP(C29,ODDIL,2,0)</f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600</v>
      </c>
      <c r="P29" s="173"/>
      <c r="Q29" s="170"/>
      <c r="R29" s="171">
        <v>18</v>
      </c>
      <c r="S29" s="171">
        <v>256</v>
      </c>
      <c r="T29" s="172">
        <v>0.24530092592592592</v>
      </c>
      <c r="U29" s="177" t="s">
        <v>646</v>
      </c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>H29+N29+T29+Z29</f>
        <v>0.50410103009259266</v>
      </c>
      <c r="AE29" s="172">
        <f>AD29-$AD$12</f>
        <v>1.6046817129629687E-2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</row>
    <row r="42" spans="2:31" ht="11.45" customHeight="1" x14ac:dyDescent="0.2">
      <c r="B42" s="255" t="s">
        <v>44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E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54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9" t="str">
        <f>CTRL!B7</f>
        <v>R E G I O N E M   O R L I C K A   L A N Š K R O U N   2 0 1 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 t="str">
        <f>CTRL!B7</f>
        <v>R E G I O N E M   O R L I C K A   L A N Š K R O U N   2 0 1 4</v>
      </c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 t="str">
        <f>CTRL!B7</f>
        <v>R E G I O N E M   O R L I C K A   L A N Š K R O U N   2 0 1 4</v>
      </c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</row>
    <row r="2" spans="1:45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 t="str">
        <f>CTRL!B8</f>
        <v>28. ročník mezinárodního cyklistického závodu juniorů / 28th edition of international cycling race of juniors</v>
      </c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 t="str">
        <f>CTRL!B8</f>
        <v>28. ročník mezinárodního cyklistického závodu juniorů / 28th edition of international cycling race of juniors</v>
      </c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</row>
    <row r="3" spans="1:45" s="79" customFormat="1" ht="18.75" x14ac:dyDescent="0.3">
      <c r="A3" s="77"/>
      <c r="B3" s="77"/>
      <c r="C3" s="78"/>
      <c r="D3" s="251" t="str">
        <f>CTRL!B17</f>
        <v xml:space="preserve">1. etapa / 1st Stage  </v>
      </c>
      <c r="E3" s="251"/>
      <c r="F3" s="251"/>
      <c r="G3" s="251"/>
      <c r="H3" s="251"/>
      <c r="I3" s="251"/>
      <c r="J3" s="251"/>
      <c r="K3" s="251"/>
      <c r="L3" s="251"/>
      <c r="M3" s="251"/>
      <c r="O3" s="80"/>
      <c r="P3" s="77"/>
      <c r="Q3" s="77"/>
      <c r="R3" s="78"/>
      <c r="S3" s="251" t="str">
        <f>D3</f>
        <v xml:space="preserve">1. etapa / 1st Stage  </v>
      </c>
      <c r="T3" s="251"/>
      <c r="U3" s="251"/>
      <c r="V3" s="251"/>
      <c r="W3" s="251"/>
      <c r="X3" s="251"/>
      <c r="Y3" s="251"/>
      <c r="Z3" s="251"/>
      <c r="AA3" s="251"/>
      <c r="AB3" s="251"/>
      <c r="AD3" s="80"/>
      <c r="AE3" s="77"/>
      <c r="AF3" s="77"/>
      <c r="AG3" s="78"/>
      <c r="AH3" s="251" t="str">
        <f>D3</f>
        <v xml:space="preserve">1. etapa / 1st Stage  </v>
      </c>
      <c r="AI3" s="251"/>
      <c r="AJ3" s="251"/>
      <c r="AK3" s="251"/>
      <c r="AL3" s="251"/>
      <c r="AM3" s="251"/>
      <c r="AN3" s="251"/>
      <c r="AO3" s="251"/>
      <c r="AP3" s="251"/>
      <c r="AQ3" s="251"/>
      <c r="AS3" s="80"/>
    </row>
    <row r="4" spans="1:45" s="81" customFormat="1" ht="29.25" customHeight="1" x14ac:dyDescent="0.35">
      <c r="A4" s="254" t="s">
        <v>68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2" t="s">
        <v>68</v>
      </c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 t="s">
        <v>68</v>
      </c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8"/>
      <c r="B6" s="28" t="s">
        <v>1</v>
      </c>
      <c r="C6" s="28" t="s">
        <v>2</v>
      </c>
      <c r="D6" s="28" t="s">
        <v>3</v>
      </c>
      <c r="E6" s="28"/>
      <c r="F6" s="28" t="s">
        <v>69</v>
      </c>
      <c r="G6" s="28"/>
      <c r="H6" s="28"/>
      <c r="I6" s="28"/>
      <c r="J6" s="28" t="s">
        <v>1</v>
      </c>
      <c r="K6" s="28" t="s">
        <v>2</v>
      </c>
      <c r="L6" s="28" t="s">
        <v>3</v>
      </c>
      <c r="M6" s="28"/>
      <c r="N6" s="28" t="s">
        <v>69</v>
      </c>
      <c r="O6" s="28"/>
      <c r="P6" s="28"/>
      <c r="Q6" s="28" t="s">
        <v>1</v>
      </c>
      <c r="R6" s="28" t="s">
        <v>2</v>
      </c>
      <c r="S6" s="28" t="s">
        <v>3</v>
      </c>
      <c r="T6" s="28"/>
      <c r="U6" s="28" t="s">
        <v>69</v>
      </c>
      <c r="V6" s="28"/>
      <c r="W6" s="28"/>
      <c r="X6" s="28"/>
      <c r="Y6" s="28" t="s">
        <v>1</v>
      </c>
      <c r="Z6" s="28" t="s">
        <v>2</v>
      </c>
      <c r="AA6" s="28" t="s">
        <v>3</v>
      </c>
      <c r="AB6" s="28"/>
      <c r="AC6" s="28" t="s">
        <v>69</v>
      </c>
      <c r="AD6" s="28"/>
      <c r="AE6" s="28"/>
      <c r="AF6" s="28" t="s">
        <v>1</v>
      </c>
      <c r="AG6" s="28" t="s">
        <v>2</v>
      </c>
      <c r="AH6" s="28" t="s">
        <v>3</v>
      </c>
      <c r="AI6" s="28"/>
      <c r="AJ6" s="28" t="s">
        <v>69</v>
      </c>
      <c r="AK6" s="28"/>
      <c r="AL6" s="28"/>
      <c r="AM6" s="28"/>
      <c r="AN6" s="28" t="s">
        <v>1</v>
      </c>
      <c r="AO6" s="28" t="s">
        <v>2</v>
      </c>
      <c r="AP6" s="28" t="s">
        <v>3</v>
      </c>
      <c r="AQ6" s="28"/>
      <c r="AR6" s="28" t="s">
        <v>69</v>
      </c>
      <c r="AS6" s="28"/>
    </row>
    <row r="7" spans="1:45" x14ac:dyDescent="0.2">
      <c r="A7" s="29"/>
      <c r="B7" s="29" t="s">
        <v>7</v>
      </c>
      <c r="C7" s="29" t="s">
        <v>8</v>
      </c>
      <c r="D7" s="29" t="s">
        <v>9</v>
      </c>
      <c r="E7" s="29"/>
      <c r="F7" s="29" t="s">
        <v>30</v>
      </c>
      <c r="G7" s="29"/>
      <c r="H7" s="29"/>
      <c r="I7" s="29"/>
      <c r="J7" s="29" t="s">
        <v>7</v>
      </c>
      <c r="K7" s="29" t="s">
        <v>8</v>
      </c>
      <c r="L7" s="29" t="s">
        <v>9</v>
      </c>
      <c r="M7" s="29"/>
      <c r="N7" s="29" t="s">
        <v>30</v>
      </c>
      <c r="O7" s="29"/>
      <c r="P7" s="29"/>
      <c r="Q7" s="29" t="s">
        <v>7</v>
      </c>
      <c r="R7" s="29" t="s">
        <v>8</v>
      </c>
      <c r="S7" s="29" t="s">
        <v>9</v>
      </c>
      <c r="T7" s="29"/>
      <c r="U7" s="29" t="s">
        <v>30</v>
      </c>
      <c r="V7" s="29"/>
      <c r="W7" s="29"/>
      <c r="X7" s="29"/>
      <c r="Y7" s="29" t="s">
        <v>7</v>
      </c>
      <c r="Z7" s="29" t="s">
        <v>8</v>
      </c>
      <c r="AA7" s="29" t="s">
        <v>9</v>
      </c>
      <c r="AB7" s="29"/>
      <c r="AC7" s="29" t="s">
        <v>30</v>
      </c>
      <c r="AD7" s="29"/>
      <c r="AE7" s="29"/>
      <c r="AF7" s="29" t="s">
        <v>7</v>
      </c>
      <c r="AG7" s="29" t="s">
        <v>8</v>
      </c>
      <c r="AH7" s="29" t="s">
        <v>9</v>
      </c>
      <c r="AI7" s="29"/>
      <c r="AJ7" s="29" t="s">
        <v>30</v>
      </c>
      <c r="AK7" s="29"/>
      <c r="AL7" s="29"/>
      <c r="AM7" s="29"/>
      <c r="AN7" s="29" t="s">
        <v>7</v>
      </c>
      <c r="AO7" s="29" t="s">
        <v>8</v>
      </c>
      <c r="AP7" s="29" t="s">
        <v>9</v>
      </c>
      <c r="AQ7" s="29"/>
      <c r="AR7" s="29" t="s">
        <v>30</v>
      </c>
      <c r="AS7" s="29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99" t="str">
        <f t="shared" ref="C10:C24" si="0">VLOOKUP(B10,STARTOVKA,2,0)</f>
        <v>GER19970725</v>
      </c>
      <c r="D10" s="58" t="str">
        <f t="shared" ref="D10:D24" si="1">VLOOKUP(B10,STARTOVKA,3,0)</f>
        <v>MAGDEBURG Tobias</v>
      </c>
      <c r="E10" s="91"/>
      <c r="F10" s="91"/>
      <c r="G10" s="142"/>
      <c r="H10" s="143"/>
      <c r="I10" s="144"/>
      <c r="J10" s="145">
        <v>34</v>
      </c>
      <c r="K10" s="99" t="str">
        <f t="shared" ref="K10:K34" si="2">VLOOKUP(J10,STARTOVKA,2,0)</f>
        <v>CZE19960513</v>
      </c>
      <c r="L10" s="58" t="str">
        <f t="shared" ref="L10:L34" si="3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20" si="4">VLOOKUP(Q10,STARTOVKA,2,0)</f>
        <v>POL19970608</v>
      </c>
      <c r="S10" s="58" t="str">
        <f t="shared" ref="S10:S20" si="5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6">VLOOKUP(Y10,STARTOVKA,2,0)</f>
        <v>CZE19970109</v>
      </c>
      <c r="AA10" s="58" t="str">
        <f t="shared" ref="AA10:AA34" si="7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8">VLOOKUP(AF10,STARTOVKA,2,0)</f>
        <v>CZE19961220</v>
      </c>
      <c r="AH10" s="58" t="str">
        <f t="shared" ref="AH10:AH34" si="9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10">VLOOKUP(AN10,STARTOVKA,2,0)</f>
        <v>AUT19961121</v>
      </c>
      <c r="AP10" s="58" t="str">
        <f t="shared" ref="AP10:AP14" si="11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si="0"/>
        <v>GER19960829</v>
      </c>
      <c r="D11" s="58" t="str">
        <f t="shared" si="1"/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2"/>
        <v>CZE19970320</v>
      </c>
      <c r="L11" s="58" t="str">
        <f t="shared" si="3"/>
        <v xml:space="preserve">KUTIŠ Martin </v>
      </c>
      <c r="M11" s="91"/>
      <c r="N11" s="91"/>
      <c r="O11" s="91"/>
      <c r="P11" s="144"/>
      <c r="Q11" s="145">
        <v>66</v>
      </c>
      <c r="R11" s="99" t="str">
        <f t="shared" si="4"/>
        <v>POL19980719</v>
      </c>
      <c r="S11" s="58" t="str">
        <f t="shared" si="5"/>
        <v>NOWAK Michał</v>
      </c>
      <c r="T11" s="91"/>
      <c r="U11" s="91"/>
      <c r="V11" s="142"/>
      <c r="W11" s="143"/>
      <c r="X11" s="144"/>
      <c r="Y11" s="145">
        <v>107</v>
      </c>
      <c r="Z11" s="99" t="str">
        <f t="shared" si="6"/>
        <v>CZE19970110</v>
      </c>
      <c r="AA11" s="58" t="str">
        <f t="shared" si="7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8"/>
        <v>CZE19961105</v>
      </c>
      <c r="AH11" s="58" t="str">
        <f t="shared" si="9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10"/>
        <v>AUT19961024</v>
      </c>
      <c r="AP11" s="58" t="str">
        <f t="shared" si="11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0"/>
        <v>GER19970102</v>
      </c>
      <c r="D12" s="58" t="str">
        <f t="shared" si="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2"/>
        <v>CZE19960310</v>
      </c>
      <c r="L12" s="58" t="str">
        <f t="shared" si="3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4"/>
        <v>SVK19970730</v>
      </c>
      <c r="S12" s="58" t="str">
        <f t="shared" si="5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6"/>
        <v>GER19960410</v>
      </c>
      <c r="AA12" s="58" t="str">
        <f t="shared" si="7"/>
        <v>BECKER Alexander</v>
      </c>
      <c r="AB12" s="91"/>
      <c r="AC12" s="91"/>
      <c r="AD12" s="91"/>
      <c r="AE12" s="144"/>
      <c r="AF12" s="145">
        <v>146</v>
      </c>
      <c r="AG12" s="99" t="str">
        <f t="shared" si="8"/>
        <v>CZE19980130</v>
      </c>
      <c r="AH12" s="58" t="str">
        <f t="shared" si="9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10"/>
        <v>AUT19960302</v>
      </c>
      <c r="AP12" s="58" t="str">
        <f t="shared" si="11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0"/>
        <v>GER19960212</v>
      </c>
      <c r="D13" s="58" t="str">
        <f t="shared" si="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2"/>
        <v>CZE19961125</v>
      </c>
      <c r="L13" s="58" t="str">
        <f t="shared" si="3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4"/>
        <v>SVK19960505</v>
      </c>
      <c r="S13" s="58" t="str">
        <f t="shared" si="5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6"/>
        <v>GER19970122</v>
      </c>
      <c r="AA13" s="58" t="str">
        <f t="shared" si="7"/>
        <v>BERAN Andy</v>
      </c>
      <c r="AB13" s="91"/>
      <c r="AC13" s="91"/>
      <c r="AD13" s="91"/>
      <c r="AE13" s="144"/>
      <c r="AF13" s="145">
        <v>147</v>
      </c>
      <c r="AG13" s="99" t="str">
        <f t="shared" si="8"/>
        <v>CZE19960618</v>
      </c>
      <c r="AH13" s="58" t="str">
        <f t="shared" si="9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10"/>
        <v>AUT19970406</v>
      </c>
      <c r="AP13" s="58" t="str">
        <f t="shared" si="11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0"/>
        <v>GER19960418</v>
      </c>
      <c r="D14" s="58" t="str">
        <f t="shared" si="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2"/>
        <v>CZE19990209</v>
      </c>
      <c r="L14" s="58" t="str">
        <f t="shared" si="3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4"/>
        <v>SVK19970207</v>
      </c>
      <c r="S14" s="58" t="str">
        <f t="shared" si="5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6"/>
        <v>GER19961002</v>
      </c>
      <c r="AA14" s="58" t="str">
        <f t="shared" si="7"/>
        <v>ROHDE Louis</v>
      </c>
      <c r="AB14" s="91"/>
      <c r="AC14" s="91"/>
      <c r="AD14" s="91"/>
      <c r="AE14" s="144"/>
      <c r="AF14" s="145">
        <v>148</v>
      </c>
      <c r="AG14" s="99" t="str">
        <f t="shared" si="8"/>
        <v>CZE19960522</v>
      </c>
      <c r="AH14" s="58" t="str">
        <f t="shared" si="9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10"/>
        <v>AUT19970913</v>
      </c>
      <c r="AP14" s="58" t="str">
        <f t="shared" si="11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0"/>
        <v>GER19970811</v>
      </c>
      <c r="D15" s="58" t="str">
        <f t="shared" si="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2"/>
        <v>CZE19960213</v>
      </c>
      <c r="L15" s="58" t="str">
        <f t="shared" si="3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4"/>
        <v>SVK19980324</v>
      </c>
      <c r="S15" s="58" t="str">
        <f t="shared" si="5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6"/>
        <v>GER19960823</v>
      </c>
      <c r="AA15" s="58" t="str">
        <f t="shared" si="7"/>
        <v>SCHLOTT Julius</v>
      </c>
      <c r="AB15" s="91"/>
      <c r="AC15" s="91"/>
      <c r="AD15" s="91"/>
      <c r="AE15" s="144"/>
      <c r="AF15" s="145">
        <v>149</v>
      </c>
      <c r="AG15" s="99" t="str">
        <f t="shared" si="8"/>
        <v>CZE19981228</v>
      </c>
      <c r="AH15" s="58" t="str">
        <f t="shared" si="9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0"/>
        <v>GER19970419</v>
      </c>
      <c r="D16" s="58" t="str">
        <f t="shared" si="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2"/>
        <v>CZE19960630</v>
      </c>
      <c r="L16" s="58" t="str">
        <f t="shared" si="3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4"/>
        <v>SVK19981117</v>
      </c>
      <c r="S16" s="58" t="str">
        <f t="shared" si="5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6"/>
        <v>GER19961029</v>
      </c>
      <c r="AA16" s="58" t="str">
        <f t="shared" si="7"/>
        <v>KOCH Chrisitan</v>
      </c>
      <c r="AB16" s="91"/>
      <c r="AC16" s="91"/>
      <c r="AD16" s="91"/>
      <c r="AE16" s="144"/>
      <c r="AF16" s="145">
        <v>150</v>
      </c>
      <c r="AG16" s="99" t="str">
        <f t="shared" si="8"/>
        <v>CZE19970926</v>
      </c>
      <c r="AH16" s="58" t="str">
        <f t="shared" si="9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0"/>
        <v>GER19980416</v>
      </c>
      <c r="D17" s="58" t="str">
        <f t="shared" si="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2"/>
        <v>CZE19980811</v>
      </c>
      <c r="L17" s="58" t="str">
        <f t="shared" si="3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4"/>
        <v>CZE19980303</v>
      </c>
      <c r="S17" s="58" t="str">
        <f t="shared" si="5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6"/>
        <v>GER19960909</v>
      </c>
      <c r="AA17" s="58" t="str">
        <f t="shared" si="7"/>
        <v>KÄMNA Lennard</v>
      </c>
      <c r="AB17" s="91"/>
      <c r="AC17" s="91"/>
      <c r="AD17" s="91"/>
      <c r="AE17" s="144"/>
      <c r="AF17" s="145">
        <v>151</v>
      </c>
      <c r="AG17" s="99" t="str">
        <f t="shared" si="8"/>
        <v>CZE19960501</v>
      </c>
      <c r="AH17" s="58" t="str">
        <f t="shared" si="9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0"/>
        <v>GER19980730</v>
      </c>
      <c r="D18" s="58" t="str">
        <f t="shared" si="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2"/>
        <v>CZE19960509</v>
      </c>
      <c r="L18" s="58" t="str">
        <f t="shared" si="3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4"/>
        <v>CZE19960127</v>
      </c>
      <c r="S18" s="58" t="str">
        <f t="shared" si="5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6"/>
        <v>GER19971022</v>
      </c>
      <c r="AA18" s="58" t="str">
        <f t="shared" si="7"/>
        <v>KANTER Max</v>
      </c>
      <c r="AB18" s="91"/>
      <c r="AC18" s="91"/>
      <c r="AD18" s="91"/>
      <c r="AE18" s="144"/>
      <c r="AF18" s="145">
        <v>152</v>
      </c>
      <c r="AG18" s="99" t="str">
        <f t="shared" si="8"/>
        <v>CZE19970417</v>
      </c>
      <c r="AH18" s="58" t="str">
        <f t="shared" si="9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0"/>
        <v>GER19970316</v>
      </c>
      <c r="D19" s="58" t="str">
        <f t="shared" si="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2"/>
        <v>CZE19981009</v>
      </c>
      <c r="L19" s="58" t="str">
        <f t="shared" si="3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4"/>
        <v>CZE19960724</v>
      </c>
      <c r="S19" s="58" t="str">
        <f t="shared" si="5"/>
        <v xml:space="preserve">BECHYNĚ Matěj </v>
      </c>
      <c r="T19" s="91"/>
      <c r="U19" s="91"/>
      <c r="V19" s="142"/>
      <c r="W19" s="143"/>
      <c r="X19" s="144"/>
      <c r="Y19" s="145">
        <v>121</v>
      </c>
      <c r="Z19" s="99" t="str">
        <f t="shared" si="6"/>
        <v>CZE19981231</v>
      </c>
      <c r="AA19" s="58" t="str">
        <f t="shared" si="7"/>
        <v xml:space="preserve">BAJER Vilém </v>
      </c>
      <c r="AB19" s="91"/>
      <c r="AC19" s="91"/>
      <c r="AD19" s="91"/>
      <c r="AE19" s="144"/>
      <c r="AF19" s="145">
        <v>153</v>
      </c>
      <c r="AG19" s="99" t="str">
        <f t="shared" si="8"/>
        <v>CZE19960707</v>
      </c>
      <c r="AH19" s="58" t="str">
        <f t="shared" si="9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0"/>
        <v>GER19961026</v>
      </c>
      <c r="D20" s="58" t="str">
        <f t="shared" si="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2"/>
        <v>CZE19960703</v>
      </c>
      <c r="L20" s="58" t="str">
        <f t="shared" si="3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4"/>
        <v>BEL19970116</v>
      </c>
      <c r="S20" s="58" t="str">
        <f t="shared" si="5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6"/>
        <v>CZE19971201</v>
      </c>
      <c r="AA20" s="58" t="str">
        <f t="shared" si="7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8"/>
        <v>CZE19970227</v>
      </c>
      <c r="AH20" s="58" t="str">
        <f t="shared" si="9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0"/>
        <v>GER19960405</v>
      </c>
      <c r="D21" s="58" t="str">
        <f t="shared" si="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2"/>
        <v>CZE19960203</v>
      </c>
      <c r="L21" s="58" t="str">
        <f t="shared" si="3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ref="R21:R34" si="12">VLOOKUP(Q21,STARTOVKA,2,0)</f>
        <v>CZE19970804</v>
      </c>
      <c r="S21" s="58" t="str">
        <f t="shared" ref="S21:S34" si="13">VLOOKUP(Q21,STARTOVKA,3,0)</f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6"/>
        <v>CZE19971015</v>
      </c>
      <c r="AA21" s="58" t="str">
        <f t="shared" si="7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8"/>
        <v>RUS19970210</v>
      </c>
      <c r="AH21" s="58" t="str">
        <f t="shared" si="9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0"/>
        <v>GER19970125</v>
      </c>
      <c r="D22" s="58" t="str">
        <f t="shared" si="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2"/>
        <v>CZE19980726</v>
      </c>
      <c r="L22" s="58" t="str">
        <f t="shared" si="3"/>
        <v xml:space="preserve">POKORNÝ Petr </v>
      </c>
      <c r="M22" s="91"/>
      <c r="N22" s="91"/>
      <c r="O22" s="91"/>
      <c r="P22" s="144"/>
      <c r="Q22" s="145">
        <v>91</v>
      </c>
      <c r="R22" s="99" t="str">
        <f t="shared" si="12"/>
        <v>CZE19970324</v>
      </c>
      <c r="S22" s="58" t="str">
        <f t="shared" si="13"/>
        <v xml:space="preserve">DUBOVSKÝ Jakub </v>
      </c>
      <c r="T22" s="91"/>
      <c r="U22" s="91"/>
      <c r="V22" s="142"/>
      <c r="W22" s="143"/>
      <c r="X22" s="144"/>
      <c r="Y22" s="145">
        <v>124</v>
      </c>
      <c r="Z22" s="99" t="str">
        <f t="shared" si="6"/>
        <v>CZE19970613</v>
      </c>
      <c r="AA22" s="58" t="str">
        <f t="shared" si="7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8"/>
        <v>RUS19971119</v>
      </c>
      <c r="AH22" s="58" t="str">
        <f t="shared" si="9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0"/>
        <v>GER19970806</v>
      </c>
      <c r="D23" s="58" t="str">
        <f t="shared" si="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2"/>
        <v>POL19961008</v>
      </c>
      <c r="L23" s="58" t="str">
        <f t="shared" si="3"/>
        <v>ZLOTOWICZ Patryk</v>
      </c>
      <c r="M23" s="91"/>
      <c r="N23" s="91"/>
      <c r="O23" s="91"/>
      <c r="P23" s="144"/>
      <c r="Q23" s="145">
        <v>92</v>
      </c>
      <c r="R23" s="99" t="str">
        <f t="shared" si="12"/>
        <v>CZE19970414</v>
      </c>
      <c r="S23" s="58" t="str">
        <f t="shared" si="13"/>
        <v xml:space="preserve">DVOŘÁK Jakub </v>
      </c>
      <c r="T23" s="91"/>
      <c r="U23" s="91"/>
      <c r="V23" s="142"/>
      <c r="W23" s="143"/>
      <c r="X23" s="144"/>
      <c r="Y23" s="145">
        <v>125</v>
      </c>
      <c r="Z23" s="99" t="str">
        <f t="shared" si="6"/>
        <v>CZE19970118</v>
      </c>
      <c r="AA23" s="58" t="str">
        <f t="shared" si="7"/>
        <v>MAYER Daniel</v>
      </c>
      <c r="AB23" s="91"/>
      <c r="AC23" s="91"/>
      <c r="AD23" s="91"/>
      <c r="AE23" s="144"/>
      <c r="AF23" s="145">
        <v>163</v>
      </c>
      <c r="AG23" s="99" t="str">
        <f t="shared" si="8"/>
        <v>RUS19970527</v>
      </c>
      <c r="AH23" s="58" t="str">
        <f t="shared" si="9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0"/>
        <v>GER19980114</v>
      </c>
      <c r="D24" s="58" t="str">
        <f t="shared" si="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2"/>
        <v>CZE19980914</v>
      </c>
      <c r="L24" s="58" t="str">
        <f t="shared" si="3"/>
        <v>TRACHTULEC Petr</v>
      </c>
      <c r="M24" s="91"/>
      <c r="N24" s="91"/>
      <c r="O24" s="91"/>
      <c r="P24" s="144"/>
      <c r="Q24" s="145">
        <v>93</v>
      </c>
      <c r="R24" s="99" t="str">
        <f t="shared" si="12"/>
        <v>CZE19960424</v>
      </c>
      <c r="S24" s="58" t="str">
        <f t="shared" si="1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6"/>
        <v>AUT19961107</v>
      </c>
      <c r="AA24" s="58" t="str">
        <f t="shared" si="7"/>
        <v>FÜHRER Alexander</v>
      </c>
      <c r="AB24" s="91"/>
      <c r="AC24" s="91"/>
      <c r="AD24" s="91"/>
      <c r="AE24" s="144"/>
      <c r="AF24" s="145">
        <v>164</v>
      </c>
      <c r="AG24" s="99" t="str">
        <f t="shared" si="8"/>
        <v>RUS19970224</v>
      </c>
      <c r="AH24" s="58" t="str">
        <f t="shared" si="9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ref="C25:C26" si="14">VLOOKUP(B25,STARTOVKA,2,0)</f>
        <v>GER19981217</v>
      </c>
      <c r="D25" s="58" t="str">
        <f t="shared" ref="D25:D26" si="15">VLOOKUP(B25,STARTOVKA,3,0)</f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2"/>
        <v>POL19960621</v>
      </c>
      <c r="L25" s="58" t="str">
        <f t="shared" si="3"/>
        <v>TROSZOK Robert</v>
      </c>
      <c r="M25" s="91"/>
      <c r="N25" s="91"/>
      <c r="O25" s="91"/>
      <c r="P25" s="144"/>
      <c r="Q25" s="145">
        <v>94</v>
      </c>
      <c r="R25" s="99" t="str">
        <f t="shared" si="12"/>
        <v>CZE19970127</v>
      </c>
      <c r="S25" s="58" t="str">
        <f t="shared" si="1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6"/>
        <v>AUT19961021</v>
      </c>
      <c r="AA25" s="58" t="str">
        <f t="shared" si="7"/>
        <v>KNAPP Daniel</v>
      </c>
      <c r="AB25" s="91"/>
      <c r="AC25" s="91"/>
      <c r="AD25" s="91"/>
      <c r="AE25" s="144"/>
      <c r="AF25" s="145">
        <v>165</v>
      </c>
      <c r="AG25" s="99" t="str">
        <f t="shared" si="8"/>
        <v>RUS19960517</v>
      </c>
      <c r="AH25" s="58" t="str">
        <f t="shared" si="9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4"/>
        <v>GER19980912</v>
      </c>
      <c r="D26" s="58" t="str">
        <f t="shared" si="15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2"/>
        <v>POL19981009</v>
      </c>
      <c r="L26" s="58" t="str">
        <f t="shared" si="3"/>
        <v>FABIAN Marcel</v>
      </c>
      <c r="M26" s="91"/>
      <c r="N26" s="91"/>
      <c r="O26" s="91"/>
      <c r="P26" s="144"/>
      <c r="Q26" s="145">
        <v>95</v>
      </c>
      <c r="R26" s="99" t="str">
        <f t="shared" si="12"/>
        <v>CZE19970813</v>
      </c>
      <c r="S26" s="58" t="str">
        <f t="shared" si="1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6"/>
        <v>CZE19960924</v>
      </c>
      <c r="AA26" s="58" t="str">
        <f t="shared" si="7"/>
        <v>CAMRDA Pavel</v>
      </c>
      <c r="AB26" s="91"/>
      <c r="AC26" s="91"/>
      <c r="AD26" s="91"/>
      <c r="AE26" s="144"/>
      <c r="AF26" s="145">
        <v>166</v>
      </c>
      <c r="AG26" s="99" t="str">
        <f t="shared" si="8"/>
        <v>RUS19960101</v>
      </c>
      <c r="AH26" s="58" t="str">
        <f t="shared" si="9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ref="C27:C34" si="16">VLOOKUP(B27,STARTOVKA,2,0)</f>
        <v>GER19980906</v>
      </c>
      <c r="D27" s="58" t="str">
        <f t="shared" ref="D27:D34" si="17">VLOOKUP(B27,STARTOVKA,3,0)</f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2"/>
        <v>POL19970322</v>
      </c>
      <c r="L27" s="58" t="str">
        <f t="shared" si="3"/>
        <v>FOLTYN Maciej</v>
      </c>
      <c r="M27" s="91"/>
      <c r="N27" s="91"/>
      <c r="O27" s="91"/>
      <c r="P27" s="144"/>
      <c r="Q27" s="145">
        <v>96</v>
      </c>
      <c r="R27" s="99" t="str">
        <f t="shared" si="12"/>
        <v>CZE19960516</v>
      </c>
      <c r="S27" s="58" t="str">
        <f t="shared" si="1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6"/>
        <v>AUT19960910</v>
      </c>
      <c r="AA27" s="58" t="str">
        <f t="shared" si="7"/>
        <v>HUBER Marcel</v>
      </c>
      <c r="AB27" s="91"/>
      <c r="AC27" s="91"/>
      <c r="AD27" s="91"/>
      <c r="AE27" s="144"/>
      <c r="AF27" s="145">
        <v>171</v>
      </c>
      <c r="AG27" s="99" t="str">
        <f t="shared" si="8"/>
        <v>SVK19970301</v>
      </c>
      <c r="AH27" s="58" t="str">
        <f t="shared" si="9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6"/>
        <v>GER19960322</v>
      </c>
      <c r="D28" s="58" t="str">
        <f t="shared" si="17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2"/>
        <v>POL19970825</v>
      </c>
      <c r="L28" s="58" t="str">
        <f t="shared" si="3"/>
        <v>GRZEGORZYCA Dominik</v>
      </c>
      <c r="M28" s="91"/>
      <c r="N28" s="91"/>
      <c r="O28" s="91"/>
      <c r="P28" s="144"/>
      <c r="Q28" s="145">
        <v>97</v>
      </c>
      <c r="R28" s="99" t="str">
        <f t="shared" si="12"/>
        <v>SVK19961022</v>
      </c>
      <c r="S28" s="58" t="str">
        <f t="shared" si="1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6"/>
        <v>AUT19970502</v>
      </c>
      <c r="AA28" s="58" t="str">
        <f t="shared" si="7"/>
        <v>RECKENDORFER Lukas</v>
      </c>
      <c r="AB28" s="91"/>
      <c r="AC28" s="91"/>
      <c r="AD28" s="91"/>
      <c r="AE28" s="144"/>
      <c r="AF28" s="145">
        <v>172</v>
      </c>
      <c r="AG28" s="99" t="str">
        <f t="shared" si="8"/>
        <v>SVK19971030</v>
      </c>
      <c r="AH28" s="58" t="str">
        <f t="shared" si="9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6"/>
        <v>GER19980505</v>
      </c>
      <c r="D29" s="58" t="str">
        <f t="shared" si="17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2"/>
        <v>CZE19970902</v>
      </c>
      <c r="L29" s="58" t="str">
        <f t="shared" si="3"/>
        <v xml:space="preserve">VÝVODA Jan </v>
      </c>
      <c r="M29" s="91"/>
      <c r="N29" s="91"/>
      <c r="O29" s="91"/>
      <c r="P29" s="144"/>
      <c r="Q29" s="145">
        <v>98</v>
      </c>
      <c r="R29" s="99" t="str">
        <f t="shared" si="12"/>
        <v>CZE19961029</v>
      </c>
      <c r="S29" s="58" t="str">
        <f t="shared" si="13"/>
        <v xml:space="preserve">STŘEDA Kryštof </v>
      </c>
      <c r="T29" s="91"/>
      <c r="U29" s="91"/>
      <c r="V29" s="142"/>
      <c r="W29" s="143"/>
      <c r="X29" s="144"/>
      <c r="Y29" s="145">
        <v>136</v>
      </c>
      <c r="Z29" s="99" t="str">
        <f t="shared" si="6"/>
        <v>AUT19970822</v>
      </c>
      <c r="AA29" s="58" t="str">
        <f t="shared" si="7"/>
        <v>STEINDLER Julian</v>
      </c>
      <c r="AB29" s="91"/>
      <c r="AC29" s="91"/>
      <c r="AD29" s="91"/>
      <c r="AE29" s="144"/>
      <c r="AF29" s="145">
        <v>173</v>
      </c>
      <c r="AG29" s="99" t="str">
        <f t="shared" si="8"/>
        <v>SVK19970117</v>
      </c>
      <c r="AH29" s="58" t="str">
        <f t="shared" si="9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6"/>
        <v>GER19981211</v>
      </c>
      <c r="D30" s="58" t="str">
        <f t="shared" si="17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2"/>
        <v>CZE19960727</v>
      </c>
      <c r="L30" s="58" t="str">
        <f t="shared" si="3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12"/>
        <v>CZE19970829</v>
      </c>
      <c r="S30" s="58" t="str">
        <f t="shared" si="1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6"/>
        <v>AUT19960713</v>
      </c>
      <c r="AA30" s="58" t="str">
        <f t="shared" si="7"/>
        <v>PÖPPL Tobias</v>
      </c>
      <c r="AB30" s="91"/>
      <c r="AC30" s="91"/>
      <c r="AD30" s="91"/>
      <c r="AE30" s="144"/>
      <c r="AF30" s="145">
        <v>174</v>
      </c>
      <c r="AG30" s="99" t="str">
        <f t="shared" si="8"/>
        <v>SVK19970730</v>
      </c>
      <c r="AH30" s="58" t="str">
        <f t="shared" si="9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6"/>
        <v>GER19980223</v>
      </c>
      <c r="D31" s="58" t="str">
        <f t="shared" si="17"/>
        <v>PLAMBECK Philipp</v>
      </c>
      <c r="E31" s="91"/>
      <c r="F31" s="91"/>
      <c r="G31" s="142"/>
      <c r="H31" s="143"/>
      <c r="I31" s="144"/>
      <c r="J31" s="145">
        <v>61</v>
      </c>
      <c r="K31" s="99" t="str">
        <f t="shared" si="2"/>
        <v>POL19960305</v>
      </c>
      <c r="L31" s="58" t="str">
        <f t="shared" si="3"/>
        <v>PRZEWIĘDA Paweł</v>
      </c>
      <c r="M31" s="91"/>
      <c r="N31" s="91"/>
      <c r="O31" s="91"/>
      <c r="P31" s="144"/>
      <c r="Q31" s="145">
        <v>102</v>
      </c>
      <c r="R31" s="99" t="str">
        <f t="shared" si="12"/>
        <v>CZE19991218</v>
      </c>
      <c r="S31" s="58" t="str">
        <f t="shared" si="13"/>
        <v xml:space="preserve">HOLUBOVSKÝ Ondřej </v>
      </c>
      <c r="T31" s="91"/>
      <c r="U31" s="91"/>
      <c r="V31" s="142"/>
      <c r="W31" s="143"/>
      <c r="X31" s="144"/>
      <c r="Y31" s="145">
        <v>138</v>
      </c>
      <c r="Z31" s="99" t="str">
        <f t="shared" si="6"/>
        <v>CZE19961125</v>
      </c>
      <c r="AA31" s="58" t="str">
        <f t="shared" si="7"/>
        <v xml:space="preserve">MODLITBA Vojtěch </v>
      </c>
      <c r="AB31" s="91"/>
      <c r="AC31" s="91"/>
      <c r="AD31" s="91"/>
      <c r="AE31" s="144"/>
      <c r="AF31" s="145">
        <v>175</v>
      </c>
      <c r="AG31" s="99" t="str">
        <f t="shared" si="8"/>
        <v>SVK19960415</v>
      </c>
      <c r="AH31" s="58" t="str">
        <f t="shared" si="9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6"/>
        <v>CZE19960423</v>
      </c>
      <c r="D32" s="58" t="str">
        <f t="shared" si="17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2"/>
        <v>POL19970228</v>
      </c>
      <c r="L32" s="58" t="str">
        <f t="shared" si="3"/>
        <v>SKIBIŃSKI Krzysztof</v>
      </c>
      <c r="M32" s="91"/>
      <c r="N32" s="91"/>
      <c r="O32" s="91"/>
      <c r="P32" s="144"/>
      <c r="Q32" s="145">
        <v>103</v>
      </c>
      <c r="R32" s="99" t="str">
        <f t="shared" si="12"/>
        <v>CZE19970319</v>
      </c>
      <c r="S32" s="58" t="str">
        <f t="shared" si="1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6"/>
        <v>CZE19960716</v>
      </c>
      <c r="AA32" s="58" t="str">
        <f t="shared" si="7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8"/>
        <v>SVK19960130</v>
      </c>
      <c r="AH32" s="58" t="str">
        <f t="shared" si="9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6"/>
        <v>CZE19970916</v>
      </c>
      <c r="D33" s="58" t="str">
        <f t="shared" si="17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2"/>
        <v>POL19960116</v>
      </c>
      <c r="L33" s="58" t="str">
        <f t="shared" si="3"/>
        <v>GORZAWSKI Kamil</v>
      </c>
      <c r="M33" s="91"/>
      <c r="N33" s="91"/>
      <c r="O33" s="91"/>
      <c r="P33" s="144"/>
      <c r="Q33" s="145">
        <v>104</v>
      </c>
      <c r="R33" s="99" t="str">
        <f t="shared" si="12"/>
        <v>CZE19960702</v>
      </c>
      <c r="S33" s="58" t="str">
        <f t="shared" si="13"/>
        <v>DULAJ Jan</v>
      </c>
      <c r="T33" s="91"/>
      <c r="U33" s="91"/>
      <c r="V33" s="142"/>
      <c r="W33" s="143"/>
      <c r="X33" s="144"/>
      <c r="Y33" s="145">
        <v>142</v>
      </c>
      <c r="Z33" s="99" t="str">
        <f t="shared" si="6"/>
        <v>CZE19971022</v>
      </c>
      <c r="AA33" s="58" t="str">
        <f t="shared" si="7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8"/>
        <v>AUT19960516</v>
      </c>
      <c r="AH33" s="58" t="str">
        <f t="shared" si="9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99" t="str">
        <f t="shared" si="16"/>
        <v>CZE19970913</v>
      </c>
      <c r="D34" s="58" t="str">
        <f t="shared" si="17"/>
        <v xml:space="preserve">VOJÍŘ Jaroslav </v>
      </c>
      <c r="E34" s="91"/>
      <c r="F34" s="91"/>
      <c r="G34" s="142"/>
      <c r="H34" s="143"/>
      <c r="I34" s="144"/>
      <c r="J34" s="145">
        <v>64</v>
      </c>
      <c r="K34" s="99" t="str">
        <f t="shared" si="2"/>
        <v>POL19960504</v>
      </c>
      <c r="L34" s="58" t="str">
        <f t="shared" si="3"/>
        <v>POLKOWSKI Bartłomiej</v>
      </c>
      <c r="M34" s="91"/>
      <c r="N34" s="91"/>
      <c r="O34" s="91"/>
      <c r="P34" s="144"/>
      <c r="Q34" s="145">
        <v>105</v>
      </c>
      <c r="R34" s="99" t="str">
        <f t="shared" si="12"/>
        <v>CZE19960511</v>
      </c>
      <c r="S34" s="58" t="str">
        <f t="shared" si="1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6"/>
        <v>CZE19960606</v>
      </c>
      <c r="AA34" s="58" t="str">
        <f t="shared" si="7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8"/>
        <v>AUT19960709</v>
      </c>
      <c r="AH34" s="58" t="str">
        <f t="shared" si="9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CTRL!B29</f>
        <v>počet závodíků / num. of riders: 130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130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130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  <row r="36" spans="1:4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54" spans="2:6" x14ac:dyDescent="0.2">
      <c r="B54" s="253"/>
      <c r="C54" s="253"/>
      <c r="D54" s="253"/>
      <c r="E54" s="253"/>
      <c r="F54" s="253"/>
    </row>
  </sheetData>
  <mergeCells count="13">
    <mergeCell ref="B54:F54"/>
    <mergeCell ref="A1:O1"/>
    <mergeCell ref="A2:O2"/>
    <mergeCell ref="D3:M3"/>
    <mergeCell ref="A4:O4"/>
    <mergeCell ref="AE1:AS1"/>
    <mergeCell ref="AE2:AS2"/>
    <mergeCell ref="AH3:AQ3"/>
    <mergeCell ref="AE4:AS4"/>
    <mergeCell ref="P1:AD1"/>
    <mergeCell ref="P2:AD2"/>
    <mergeCell ref="S3:AB3"/>
    <mergeCell ref="P4:AD4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9" t="str">
        <f>CTRL!B7</f>
        <v>R E G I O N E M   O R L I C K A   L A N Š K R O U N   2 0 1 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 t="str">
        <f>CTRL!B7</f>
        <v>R E G I O N E M   O R L I C K A   L A N Š K R O U N   2 0 1 4</v>
      </c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 t="str">
        <f>CTRL!B7</f>
        <v>R E G I O N E M   O R L I C K A   L A N Š K R O U N   2 0 1 4</v>
      </c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</row>
    <row r="2" spans="1:45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 t="str">
        <f>CTRL!B8</f>
        <v>28. ročník mezinárodního cyklistického závodu juniorů / 28th edition of international cycling race of juniors</v>
      </c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 t="str">
        <f>CTRL!B8</f>
        <v>28. ročník mezinárodního cyklistického závodu juniorů / 28th edition of international cycling race of juniors</v>
      </c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</row>
    <row r="3" spans="1:45" s="79" customFormat="1" ht="18.75" x14ac:dyDescent="0.3">
      <c r="A3" s="77"/>
      <c r="B3" s="77"/>
      <c r="C3" s="78"/>
      <c r="D3" s="251" t="str">
        <f>CTRL!B18</f>
        <v>2. etapa / 2nd Stage</v>
      </c>
      <c r="E3" s="251"/>
      <c r="F3" s="251"/>
      <c r="G3" s="251"/>
      <c r="H3" s="251"/>
      <c r="I3" s="251"/>
      <c r="J3" s="251"/>
      <c r="K3" s="251"/>
      <c r="L3" s="251"/>
      <c r="M3" s="251"/>
      <c r="O3" s="80"/>
      <c r="P3" s="77"/>
      <c r="Q3" s="77"/>
      <c r="R3" s="78"/>
      <c r="S3" s="251" t="str">
        <f>D3</f>
        <v>2. etapa / 2nd Stage</v>
      </c>
      <c r="T3" s="251"/>
      <c r="U3" s="251"/>
      <c r="V3" s="251"/>
      <c r="W3" s="251"/>
      <c r="X3" s="251"/>
      <c r="Y3" s="251"/>
      <c r="Z3" s="251"/>
      <c r="AA3" s="251"/>
      <c r="AB3" s="251"/>
      <c r="AD3" s="80"/>
      <c r="AE3" s="77"/>
      <c r="AF3" s="77"/>
      <c r="AG3" s="78"/>
      <c r="AH3" s="251" t="str">
        <f>D3</f>
        <v>2. etapa / 2nd Stage</v>
      </c>
      <c r="AI3" s="251"/>
      <c r="AJ3" s="251"/>
      <c r="AK3" s="251"/>
      <c r="AL3" s="251"/>
      <c r="AM3" s="251"/>
      <c r="AN3" s="251"/>
      <c r="AO3" s="251"/>
      <c r="AP3" s="251"/>
      <c r="AQ3" s="251"/>
      <c r="AS3" s="80"/>
    </row>
    <row r="4" spans="1:45" s="81" customFormat="1" ht="29.25" customHeight="1" x14ac:dyDescent="0.35">
      <c r="A4" s="254" t="s">
        <v>68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2" t="s">
        <v>68</v>
      </c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 t="s">
        <v>68</v>
      </c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09"/>
      <c r="B6" s="209" t="s">
        <v>1</v>
      </c>
      <c r="C6" s="209" t="s">
        <v>2</v>
      </c>
      <c r="D6" s="209" t="s">
        <v>3</v>
      </c>
      <c r="E6" s="209"/>
      <c r="F6" s="209" t="s">
        <v>69</v>
      </c>
      <c r="G6" s="209"/>
      <c r="H6" s="209"/>
      <c r="I6" s="209"/>
      <c r="J6" s="209" t="s">
        <v>1</v>
      </c>
      <c r="K6" s="209" t="s">
        <v>2</v>
      </c>
      <c r="L6" s="209" t="s">
        <v>3</v>
      </c>
      <c r="M6" s="209"/>
      <c r="N6" s="209" t="s">
        <v>69</v>
      </c>
      <c r="O6" s="209"/>
      <c r="P6" s="209"/>
      <c r="Q6" s="209" t="s">
        <v>1</v>
      </c>
      <c r="R6" s="209" t="s">
        <v>2</v>
      </c>
      <c r="S6" s="209" t="s">
        <v>3</v>
      </c>
      <c r="T6" s="209"/>
      <c r="U6" s="209" t="s">
        <v>69</v>
      </c>
      <c r="V6" s="209"/>
      <c r="W6" s="209"/>
      <c r="X6" s="209"/>
      <c r="Y6" s="209" t="s">
        <v>1</v>
      </c>
      <c r="Z6" s="209" t="s">
        <v>2</v>
      </c>
      <c r="AA6" s="209" t="s">
        <v>3</v>
      </c>
      <c r="AB6" s="209"/>
      <c r="AC6" s="209" t="s">
        <v>69</v>
      </c>
      <c r="AD6" s="209"/>
      <c r="AE6" s="209"/>
      <c r="AF6" s="209" t="s">
        <v>1</v>
      </c>
      <c r="AG6" s="209" t="s">
        <v>2</v>
      </c>
      <c r="AH6" s="209" t="s">
        <v>3</v>
      </c>
      <c r="AI6" s="209"/>
      <c r="AJ6" s="209" t="s">
        <v>69</v>
      </c>
      <c r="AK6" s="209"/>
      <c r="AL6" s="209"/>
      <c r="AM6" s="209"/>
      <c r="AN6" s="209" t="s">
        <v>1</v>
      </c>
      <c r="AO6" s="209" t="s">
        <v>2</v>
      </c>
      <c r="AP6" s="209" t="s">
        <v>3</v>
      </c>
      <c r="AQ6" s="209"/>
      <c r="AR6" s="209" t="s">
        <v>69</v>
      </c>
      <c r="AS6" s="209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253"/>
      <c r="D10" s="253"/>
      <c r="E10" s="253"/>
      <c r="F10" s="253"/>
      <c r="G10" s="25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3" si="10">VLOOKUP(B11,STARTOVKA,2,0)</f>
        <v>GER19960829</v>
      </c>
      <c r="D11" s="58" t="str">
        <f t="shared" ref="D11:D33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253"/>
      <c r="S11" s="253"/>
      <c r="T11" s="253"/>
      <c r="U11" s="253"/>
      <c r="V11" s="25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253"/>
      <c r="AA19" s="253"/>
      <c r="AB19" s="253"/>
      <c r="AC19" s="253"/>
      <c r="AD19" s="25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253"/>
      <c r="S22" s="253"/>
      <c r="T22" s="253"/>
      <c r="U22" s="253"/>
      <c r="V22" s="25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253"/>
      <c r="S23" s="253"/>
      <c r="T23" s="253"/>
      <c r="U23" s="253"/>
      <c r="V23" s="25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253"/>
      <c r="S29" s="253"/>
      <c r="T29" s="253"/>
      <c r="U29" s="253"/>
      <c r="V29" s="25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253"/>
      <c r="L31" s="253"/>
      <c r="M31" s="253"/>
      <c r="N31" s="253"/>
      <c r="O31" s="253"/>
      <c r="P31" s="144"/>
      <c r="Q31" s="145">
        <v>102</v>
      </c>
      <c r="R31" s="253"/>
      <c r="S31" s="253"/>
      <c r="T31" s="253"/>
      <c r="U31" s="253"/>
      <c r="V31" s="253"/>
      <c r="W31" s="143"/>
      <c r="X31" s="144"/>
      <c r="Y31" s="145">
        <v>138</v>
      </c>
      <c r="Z31" s="253"/>
      <c r="AA31" s="253"/>
      <c r="AB31" s="253"/>
      <c r="AC31" s="253"/>
      <c r="AD31" s="25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0"/>
        <v>CZE19970916</v>
      </c>
      <c r="D33" s="58" t="str">
        <f t="shared" si="11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253"/>
      <c r="S33" s="253"/>
      <c r="T33" s="253"/>
      <c r="U33" s="253"/>
      <c r="V33" s="25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253"/>
      <c r="D34" s="253"/>
      <c r="E34" s="253"/>
      <c r="F34" s="253"/>
      <c r="G34" s="253"/>
      <c r="H34" s="143"/>
      <c r="I34" s="144"/>
      <c r="J34" s="145">
        <v>64</v>
      </c>
      <c r="K34" s="253"/>
      <c r="L34" s="253"/>
      <c r="M34" s="253"/>
      <c r="N34" s="253"/>
      <c r="O34" s="25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CTRL!B30</f>
        <v>počet závodíků / num. of riders: 118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118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118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sortState ref="L44:L55">
    <sortCondition ref="L44"/>
  </sortState>
  <mergeCells count="24">
    <mergeCell ref="A1:O1"/>
    <mergeCell ref="P1:AD1"/>
    <mergeCell ref="AE1:AS1"/>
    <mergeCell ref="A2:O2"/>
    <mergeCell ref="P2:AD2"/>
    <mergeCell ref="AE2:AS2"/>
    <mergeCell ref="D3:M3"/>
    <mergeCell ref="S3:AB3"/>
    <mergeCell ref="AH3:AQ3"/>
    <mergeCell ref="A4:O4"/>
    <mergeCell ref="P4:AD4"/>
    <mergeCell ref="AE4:AS4"/>
    <mergeCell ref="R33:V33"/>
    <mergeCell ref="Z19:AD19"/>
    <mergeCell ref="Z31:AD31"/>
    <mergeCell ref="C10:G10"/>
    <mergeCell ref="C34:G34"/>
    <mergeCell ref="K31:O31"/>
    <mergeCell ref="R11:V11"/>
    <mergeCell ref="K34:O34"/>
    <mergeCell ref="R22:V22"/>
    <mergeCell ref="R23:V23"/>
    <mergeCell ref="R29:V29"/>
    <mergeCell ref="R31:V31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opLeftCell="A31" zoomScaleNormal="100" workbookViewId="0">
      <selection activeCell="B35" sqref="B35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9" t="str">
        <f>CTRL!B7</f>
        <v>R E G I O N E M   O R L I C K A   L A N Š K R O U N   2 0 1 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 t="str">
        <f>CTRL!B7</f>
        <v>R E G I O N E M   O R L I C K A   L A N Š K R O U N   2 0 1 4</v>
      </c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 t="str">
        <f>CTRL!B7</f>
        <v>R E G I O N E M   O R L I C K A   L A N Š K R O U N   2 0 1 4</v>
      </c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</row>
    <row r="2" spans="1:45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 t="str">
        <f>CTRL!B8</f>
        <v>28. ročník mezinárodního cyklistického závodu juniorů / 28th edition of international cycling race of juniors</v>
      </c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 t="str">
        <f>CTRL!B8</f>
        <v>28. ročník mezinárodního cyklistického závodu juniorů / 28th edition of international cycling race of juniors</v>
      </c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</row>
    <row r="3" spans="1:45" s="79" customFormat="1" ht="18.75" x14ac:dyDescent="0.3">
      <c r="A3" s="77"/>
      <c r="B3" s="77"/>
      <c r="C3" s="78"/>
      <c r="D3" s="251" t="str">
        <f>CTRL!B19</f>
        <v>3. etapa / 3rd Stage</v>
      </c>
      <c r="E3" s="251"/>
      <c r="F3" s="251"/>
      <c r="G3" s="251"/>
      <c r="H3" s="251"/>
      <c r="I3" s="251"/>
      <c r="J3" s="251"/>
      <c r="K3" s="251"/>
      <c r="L3" s="251"/>
      <c r="M3" s="251"/>
      <c r="O3" s="80"/>
      <c r="P3" s="77"/>
      <c r="Q3" s="77"/>
      <c r="R3" s="78"/>
      <c r="S3" s="251" t="str">
        <f>D3</f>
        <v>3. etapa / 3rd Stage</v>
      </c>
      <c r="T3" s="251"/>
      <c r="U3" s="251"/>
      <c r="V3" s="251"/>
      <c r="W3" s="251"/>
      <c r="X3" s="251"/>
      <c r="Y3" s="251"/>
      <c r="Z3" s="251"/>
      <c r="AA3" s="251"/>
      <c r="AB3" s="251"/>
      <c r="AD3" s="80"/>
      <c r="AE3" s="77"/>
      <c r="AF3" s="77"/>
      <c r="AG3" s="78"/>
      <c r="AH3" s="251" t="str">
        <f>D3</f>
        <v>3. etapa / 3rd Stage</v>
      </c>
      <c r="AI3" s="251"/>
      <c r="AJ3" s="251"/>
      <c r="AK3" s="251"/>
      <c r="AL3" s="251"/>
      <c r="AM3" s="251"/>
      <c r="AN3" s="251"/>
      <c r="AO3" s="251"/>
      <c r="AP3" s="251"/>
      <c r="AQ3" s="251"/>
      <c r="AS3" s="80"/>
    </row>
    <row r="4" spans="1:45" s="81" customFormat="1" ht="29.25" customHeight="1" x14ac:dyDescent="0.35">
      <c r="A4" s="254" t="s">
        <v>68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2" t="s">
        <v>68</v>
      </c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 t="s">
        <v>68</v>
      </c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18"/>
      <c r="B6" s="218" t="s">
        <v>1</v>
      </c>
      <c r="C6" s="218" t="s">
        <v>2</v>
      </c>
      <c r="D6" s="218" t="s">
        <v>3</v>
      </c>
      <c r="E6" s="218"/>
      <c r="F6" s="218" t="s">
        <v>69</v>
      </c>
      <c r="G6" s="218"/>
      <c r="H6" s="218"/>
      <c r="I6" s="218"/>
      <c r="J6" s="218" t="s">
        <v>1</v>
      </c>
      <c r="K6" s="218" t="s">
        <v>2</v>
      </c>
      <c r="L6" s="218" t="s">
        <v>3</v>
      </c>
      <c r="M6" s="218"/>
      <c r="N6" s="218" t="s">
        <v>69</v>
      </c>
      <c r="O6" s="218"/>
      <c r="P6" s="218"/>
      <c r="Q6" s="218" t="s">
        <v>1</v>
      </c>
      <c r="R6" s="218" t="s">
        <v>2</v>
      </c>
      <c r="S6" s="218" t="s">
        <v>3</v>
      </c>
      <c r="T6" s="218"/>
      <c r="U6" s="218" t="s">
        <v>69</v>
      </c>
      <c r="V6" s="218"/>
      <c r="W6" s="218"/>
      <c r="X6" s="218"/>
      <c r="Y6" s="218" t="s">
        <v>1</v>
      </c>
      <c r="Z6" s="218" t="s">
        <v>2</v>
      </c>
      <c r="AA6" s="218" t="s">
        <v>3</v>
      </c>
      <c r="AB6" s="218"/>
      <c r="AC6" s="218" t="s">
        <v>69</v>
      </c>
      <c r="AD6" s="218"/>
      <c r="AE6" s="218"/>
      <c r="AF6" s="218" t="s">
        <v>1</v>
      </c>
      <c r="AG6" s="218" t="s">
        <v>2</v>
      </c>
      <c r="AH6" s="218" t="s">
        <v>3</v>
      </c>
      <c r="AI6" s="218"/>
      <c r="AJ6" s="218" t="s">
        <v>69</v>
      </c>
      <c r="AK6" s="218"/>
      <c r="AL6" s="218"/>
      <c r="AM6" s="218"/>
      <c r="AN6" s="218" t="s">
        <v>1</v>
      </c>
      <c r="AO6" s="218" t="s">
        <v>2</v>
      </c>
      <c r="AP6" s="218" t="s">
        <v>3</v>
      </c>
      <c r="AQ6" s="218"/>
      <c r="AR6" s="218" t="s">
        <v>69</v>
      </c>
      <c r="AS6" s="218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253"/>
      <c r="D10" s="253"/>
      <c r="E10" s="253"/>
      <c r="F10" s="253"/>
      <c r="G10" s="25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2" si="10">VLOOKUP(B11,STARTOVKA,2,0)</f>
        <v>GER19960829</v>
      </c>
      <c r="D11" s="58" t="str">
        <f t="shared" ref="D11:D32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253"/>
      <c r="S11" s="253"/>
      <c r="T11" s="253"/>
      <c r="U11" s="253"/>
      <c r="V11" s="25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253"/>
      <c r="AA19" s="253"/>
      <c r="AB19" s="253"/>
      <c r="AC19" s="253"/>
      <c r="AD19" s="25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253"/>
      <c r="S22" s="253"/>
      <c r="T22" s="253"/>
      <c r="U22" s="253"/>
      <c r="V22" s="25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253"/>
      <c r="S23" s="253"/>
      <c r="T23" s="253"/>
      <c r="U23" s="253"/>
      <c r="V23" s="25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253"/>
      <c r="S29" s="253"/>
      <c r="T29" s="253"/>
      <c r="U29" s="253"/>
      <c r="V29" s="25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253"/>
      <c r="L31" s="253"/>
      <c r="M31" s="253"/>
      <c r="N31" s="253"/>
      <c r="O31" s="253"/>
      <c r="P31" s="144"/>
      <c r="Q31" s="145">
        <v>102</v>
      </c>
      <c r="R31" s="253"/>
      <c r="S31" s="253"/>
      <c r="T31" s="253"/>
      <c r="U31" s="253"/>
      <c r="V31" s="253"/>
      <c r="W31" s="143"/>
      <c r="X31" s="144"/>
      <c r="Y31" s="145">
        <v>138</v>
      </c>
      <c r="Z31" s="253"/>
      <c r="AA31" s="253"/>
      <c r="AB31" s="253"/>
      <c r="AC31" s="253"/>
      <c r="AD31" s="25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253"/>
      <c r="D33" s="253"/>
      <c r="E33" s="253"/>
      <c r="F33" s="253"/>
      <c r="G33" s="253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253"/>
      <c r="S33" s="253"/>
      <c r="T33" s="253"/>
      <c r="U33" s="253"/>
      <c r="V33" s="25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253"/>
      <c r="D34" s="253"/>
      <c r="E34" s="253"/>
      <c r="F34" s="253"/>
      <c r="G34" s="253"/>
      <c r="H34" s="143"/>
      <c r="I34" s="144"/>
      <c r="J34" s="145">
        <v>64</v>
      </c>
      <c r="K34" s="253"/>
      <c r="L34" s="253"/>
      <c r="M34" s="253"/>
      <c r="N34" s="253"/>
      <c r="O34" s="25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CTRL!B31</f>
        <v>počet závodíků / num. of riders: 117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117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117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mergeCells count="25">
    <mergeCell ref="K31:O31"/>
    <mergeCell ref="R31:V31"/>
    <mergeCell ref="Z31:AD31"/>
    <mergeCell ref="R33:V33"/>
    <mergeCell ref="C34:G34"/>
    <mergeCell ref="K34:O34"/>
    <mergeCell ref="C33:G33"/>
    <mergeCell ref="R29:V29"/>
    <mergeCell ref="D3:M3"/>
    <mergeCell ref="S3:AB3"/>
    <mergeCell ref="AH3:AQ3"/>
    <mergeCell ref="A4:O4"/>
    <mergeCell ref="P4:AD4"/>
    <mergeCell ref="AE4:AS4"/>
    <mergeCell ref="C10:G10"/>
    <mergeCell ref="R11:V11"/>
    <mergeCell ref="Z19:AD19"/>
    <mergeCell ref="R22:V22"/>
    <mergeCell ref="R23:V23"/>
    <mergeCell ref="A1:O1"/>
    <mergeCell ref="P1:AD1"/>
    <mergeCell ref="AE1:AS1"/>
    <mergeCell ref="A2:O2"/>
    <mergeCell ref="P2:AD2"/>
    <mergeCell ref="AE2:AS2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opLeftCell="J7" zoomScaleNormal="100" workbookViewId="0">
      <selection activeCell="AG18" sqref="AG18:AK18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249" t="str">
        <f>CTRL!B7</f>
        <v>R E G I O N E M   O R L I C K A   L A N Š K R O U N   2 0 1 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 t="str">
        <f>CTRL!B7</f>
        <v>R E G I O N E M   O R L I C K A   L A N Š K R O U N   2 0 1 4</v>
      </c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 t="str">
        <f>CTRL!B7</f>
        <v>R E G I O N E M   O R L I C K A   L A N Š K R O U N   2 0 1 4</v>
      </c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</row>
    <row r="2" spans="1:45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 t="str">
        <f>CTRL!B8</f>
        <v>28. ročník mezinárodního cyklistického závodu juniorů / 28th edition of international cycling race of juniors</v>
      </c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 t="str">
        <f>CTRL!B8</f>
        <v>28. ročník mezinárodního cyklistického závodu juniorů / 28th edition of international cycling race of juniors</v>
      </c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</row>
    <row r="3" spans="1:45" s="79" customFormat="1" ht="18.75" x14ac:dyDescent="0.3">
      <c r="A3" s="77"/>
      <c r="B3" s="77"/>
      <c r="C3" s="78"/>
      <c r="D3" s="251" t="str">
        <f>CTRL!B20</f>
        <v xml:space="preserve">4. etapa / 4th Stage </v>
      </c>
      <c r="E3" s="251"/>
      <c r="F3" s="251"/>
      <c r="G3" s="251"/>
      <c r="H3" s="251"/>
      <c r="I3" s="251"/>
      <c r="J3" s="251"/>
      <c r="K3" s="251"/>
      <c r="L3" s="251"/>
      <c r="M3" s="251"/>
      <c r="O3" s="80"/>
      <c r="P3" s="77"/>
      <c r="Q3" s="77"/>
      <c r="R3" s="78"/>
      <c r="S3" s="251" t="str">
        <f>D3</f>
        <v xml:space="preserve">4. etapa / 4th Stage </v>
      </c>
      <c r="T3" s="251"/>
      <c r="U3" s="251"/>
      <c r="V3" s="251"/>
      <c r="W3" s="251"/>
      <c r="X3" s="251"/>
      <c r="Y3" s="251"/>
      <c r="Z3" s="251"/>
      <c r="AA3" s="251"/>
      <c r="AB3" s="251"/>
      <c r="AD3" s="80"/>
      <c r="AE3" s="77"/>
      <c r="AF3" s="77"/>
      <c r="AG3" s="78"/>
      <c r="AH3" s="251" t="str">
        <f>D3</f>
        <v xml:space="preserve">4. etapa / 4th Stage </v>
      </c>
      <c r="AI3" s="251"/>
      <c r="AJ3" s="251"/>
      <c r="AK3" s="251"/>
      <c r="AL3" s="251"/>
      <c r="AM3" s="251"/>
      <c r="AN3" s="251"/>
      <c r="AO3" s="251"/>
      <c r="AP3" s="251"/>
      <c r="AQ3" s="251"/>
      <c r="AS3" s="80"/>
    </row>
    <row r="4" spans="1:45" s="81" customFormat="1" ht="29.25" customHeight="1" x14ac:dyDescent="0.35">
      <c r="A4" s="254" t="s">
        <v>68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2" t="s">
        <v>68</v>
      </c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 t="s">
        <v>68</v>
      </c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48"/>
      <c r="B6" s="248" t="s">
        <v>1</v>
      </c>
      <c r="C6" s="248" t="s">
        <v>2</v>
      </c>
      <c r="D6" s="248" t="s">
        <v>3</v>
      </c>
      <c r="E6" s="248"/>
      <c r="F6" s="248" t="s">
        <v>69</v>
      </c>
      <c r="G6" s="248"/>
      <c r="H6" s="248"/>
      <c r="I6" s="248"/>
      <c r="J6" s="248" t="s">
        <v>1</v>
      </c>
      <c r="K6" s="248" t="s">
        <v>2</v>
      </c>
      <c r="L6" s="248" t="s">
        <v>3</v>
      </c>
      <c r="M6" s="248"/>
      <c r="N6" s="248" t="s">
        <v>69</v>
      </c>
      <c r="O6" s="248"/>
      <c r="P6" s="248"/>
      <c r="Q6" s="248" t="s">
        <v>1</v>
      </c>
      <c r="R6" s="248" t="s">
        <v>2</v>
      </c>
      <c r="S6" s="248" t="s">
        <v>3</v>
      </c>
      <c r="T6" s="248"/>
      <c r="U6" s="248" t="s">
        <v>69</v>
      </c>
      <c r="V6" s="248"/>
      <c r="W6" s="248"/>
      <c r="X6" s="248"/>
      <c r="Y6" s="248" t="s">
        <v>1</v>
      </c>
      <c r="Z6" s="248" t="s">
        <v>2</v>
      </c>
      <c r="AA6" s="248" t="s">
        <v>3</v>
      </c>
      <c r="AB6" s="248"/>
      <c r="AC6" s="248" t="s">
        <v>69</v>
      </c>
      <c r="AD6" s="248"/>
      <c r="AE6" s="248"/>
      <c r="AF6" s="248" t="s">
        <v>1</v>
      </c>
      <c r="AG6" s="248" t="s">
        <v>2</v>
      </c>
      <c r="AH6" s="248" t="s">
        <v>3</v>
      </c>
      <c r="AI6" s="248"/>
      <c r="AJ6" s="248" t="s">
        <v>69</v>
      </c>
      <c r="AK6" s="248"/>
      <c r="AL6" s="248"/>
      <c r="AM6" s="248"/>
      <c r="AN6" s="248" t="s">
        <v>1</v>
      </c>
      <c r="AO6" s="248" t="s">
        <v>2</v>
      </c>
      <c r="AP6" s="248" t="s">
        <v>3</v>
      </c>
      <c r="AQ6" s="248"/>
      <c r="AR6" s="248" t="s">
        <v>69</v>
      </c>
      <c r="AS6" s="248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253"/>
      <c r="D10" s="253"/>
      <c r="E10" s="253"/>
      <c r="F10" s="253"/>
      <c r="G10" s="25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2" si="10">VLOOKUP(B11,STARTOVKA,2,0)</f>
        <v>GER19960829</v>
      </c>
      <c r="D11" s="58" t="str">
        <f t="shared" ref="D11:D32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253"/>
      <c r="S11" s="253"/>
      <c r="T11" s="253"/>
      <c r="U11" s="253"/>
      <c r="V11" s="25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253"/>
      <c r="AH18" s="253"/>
      <c r="AI18" s="253"/>
      <c r="AJ18" s="253"/>
      <c r="AK18" s="253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253"/>
      <c r="AA19" s="253"/>
      <c r="AB19" s="253"/>
      <c r="AC19" s="253"/>
      <c r="AD19" s="25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253"/>
      <c r="D20" s="253"/>
      <c r="E20" s="253"/>
      <c r="F20" s="253"/>
      <c r="G20" s="253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253"/>
      <c r="S22" s="253"/>
      <c r="T22" s="253"/>
      <c r="U22" s="253"/>
      <c r="V22" s="25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253"/>
      <c r="S23" s="253"/>
      <c r="T23" s="253"/>
      <c r="U23" s="253"/>
      <c r="V23" s="25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253"/>
      <c r="S29" s="253"/>
      <c r="T29" s="253"/>
      <c r="U29" s="253"/>
      <c r="V29" s="25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253"/>
      <c r="L31" s="253"/>
      <c r="M31" s="253"/>
      <c r="N31" s="253"/>
      <c r="O31" s="253"/>
      <c r="P31" s="144"/>
      <c r="Q31" s="145">
        <v>102</v>
      </c>
      <c r="R31" s="253"/>
      <c r="S31" s="253"/>
      <c r="T31" s="253"/>
      <c r="U31" s="253"/>
      <c r="V31" s="253"/>
      <c r="W31" s="143"/>
      <c r="X31" s="144"/>
      <c r="Y31" s="145">
        <v>138</v>
      </c>
      <c r="Z31" s="253"/>
      <c r="AA31" s="253"/>
      <c r="AB31" s="253"/>
      <c r="AC31" s="253"/>
      <c r="AD31" s="25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253"/>
      <c r="D33" s="253"/>
      <c r="E33" s="253"/>
      <c r="F33" s="253"/>
      <c r="G33" s="253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253"/>
      <c r="S33" s="253"/>
      <c r="T33" s="253"/>
      <c r="U33" s="253"/>
      <c r="V33" s="25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253"/>
      <c r="D34" s="253"/>
      <c r="E34" s="253"/>
      <c r="F34" s="253"/>
      <c r="G34" s="253"/>
      <c r="H34" s="143"/>
      <c r="I34" s="144"/>
      <c r="J34" s="145">
        <v>64</v>
      </c>
      <c r="K34" s="253"/>
      <c r="L34" s="253"/>
      <c r="M34" s="253"/>
      <c r="N34" s="253"/>
      <c r="O34" s="25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CTRL!B32</f>
        <v>počet závodíků / num. of riders: 115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115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115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mergeCells count="27">
    <mergeCell ref="AG18:AK18"/>
    <mergeCell ref="K31:O31"/>
    <mergeCell ref="R31:V31"/>
    <mergeCell ref="Z31:AD31"/>
    <mergeCell ref="C33:G33"/>
    <mergeCell ref="R33:V33"/>
    <mergeCell ref="C34:G34"/>
    <mergeCell ref="K34:O34"/>
    <mergeCell ref="C10:G10"/>
    <mergeCell ref="R11:V11"/>
    <mergeCell ref="Z19:AD19"/>
    <mergeCell ref="R22:V22"/>
    <mergeCell ref="R23:V23"/>
    <mergeCell ref="R29:V29"/>
    <mergeCell ref="C20:G20"/>
    <mergeCell ref="D3:M3"/>
    <mergeCell ref="S3:AB3"/>
    <mergeCell ref="AH3:AQ3"/>
    <mergeCell ref="A4:O4"/>
    <mergeCell ref="P4:AD4"/>
    <mergeCell ref="AE4:AS4"/>
    <mergeCell ref="A1:O1"/>
    <mergeCell ref="P1:AD1"/>
    <mergeCell ref="AE1:AS1"/>
    <mergeCell ref="A2:O2"/>
    <mergeCell ref="P2:AD2"/>
    <mergeCell ref="AE2:AS2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56"/>
  <sheetViews>
    <sheetView zoomScaleNormal="100" workbookViewId="0">
      <selection sqref="A1:K1"/>
    </sheetView>
  </sheetViews>
  <sheetFormatPr defaultColWidth="8.85546875" defaultRowHeight="12.75" x14ac:dyDescent="0.2"/>
  <cols>
    <col min="1" max="1" width="4.85546875" style="20" customWidth="1"/>
    <col min="2" max="2" width="6.140625" style="20" customWidth="1"/>
    <col min="3" max="3" width="13.7109375" style="1" customWidth="1"/>
    <col min="4" max="4" width="24.7109375" style="20" customWidth="1"/>
    <col min="5" max="5" width="34.42578125" style="20" customWidth="1"/>
    <col min="6" max="6" width="10.42578125" style="20" customWidth="1"/>
    <col min="7" max="7" width="6.7109375" style="20" customWidth="1"/>
    <col min="8" max="8" width="8.5703125" style="20" customWidth="1"/>
    <col min="9" max="9" width="10.85546875" style="20" customWidth="1"/>
    <col min="10" max="10" width="10.42578125" style="20" customWidth="1"/>
    <col min="11" max="11" width="0.42578125" style="20" customWidth="1"/>
    <col min="12" max="12" width="9.140625" customWidth="1"/>
    <col min="13" max="15" width="8.85546875" customWidth="1"/>
  </cols>
  <sheetData>
    <row r="1" spans="1:1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8.75" x14ac:dyDescent="0.3">
      <c r="D3" s="251"/>
      <c r="E3" s="251"/>
      <c r="F3" s="251"/>
      <c r="G3" s="251"/>
      <c r="H3" s="251"/>
      <c r="I3" s="49"/>
      <c r="J3" s="2" t="str">
        <f xml:space="preserve"> "Com.no.: 1/" &amp; CTRL!B27</f>
        <v>Com.no.: 1/31</v>
      </c>
    </row>
    <row r="4" spans="1:11" x14ac:dyDescent="0.2">
      <c r="A4" s="13" t="str">
        <f>"Datum / Date: "&amp;TEXT(CTRL!B10,"dd.mm.rrrr")</f>
        <v>Datum / Date: 08.08.2014</v>
      </c>
      <c r="J4" s="202" t="str">
        <f>"Místo konání / Place: "&amp;CTRL!B16&amp;""</f>
        <v>Místo konání / Place: Lanškroun (CZE)</v>
      </c>
      <c r="K4" s="14" t="s">
        <v>101</v>
      </c>
    </row>
    <row r="5" spans="1:11" ht="21" x14ac:dyDescent="0.2">
      <c r="A5" s="254" t="s">
        <v>13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</row>
    <row r="6" spans="1:11" ht="9" customHeight="1" x14ac:dyDescent="0.2"/>
    <row r="7" spans="1:1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</row>
    <row r="8" spans="1:1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</row>
    <row r="9" spans="1:11" ht="8.25" customHeight="1" thickBot="1" x14ac:dyDescent="0.25"/>
    <row r="10" spans="1:11" ht="14.2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</row>
    <row r="11" spans="1:11" ht="15" x14ac:dyDescent="0.2">
      <c r="A11" s="24"/>
      <c r="B11" s="25"/>
      <c r="C11" s="25"/>
      <c r="D11" s="25"/>
      <c r="E11" s="56"/>
      <c r="F11" s="56"/>
      <c r="G11" s="56"/>
      <c r="H11" s="56"/>
      <c r="I11" s="56"/>
      <c r="J11" s="56"/>
      <c r="K11" s="56"/>
    </row>
    <row r="12" spans="1:11" s="42" customFormat="1" ht="15" customHeight="1" x14ac:dyDescent="0.2">
      <c r="A12" s="53"/>
      <c r="B12" s="99">
        <v>1</v>
      </c>
      <c r="C12" s="99" t="s">
        <v>474</v>
      </c>
      <c r="D12" s="140" t="s">
        <v>475</v>
      </c>
      <c r="E12" s="101" t="s">
        <v>476</v>
      </c>
      <c r="F12" s="121" t="s">
        <v>477</v>
      </c>
      <c r="G12" s="91" t="s">
        <v>174</v>
      </c>
      <c r="H12" s="91" t="s">
        <v>478</v>
      </c>
      <c r="I12" s="59"/>
      <c r="J12" s="31"/>
      <c r="K12" s="31"/>
    </row>
    <row r="13" spans="1:11" s="42" customFormat="1" ht="15" customHeight="1" x14ac:dyDescent="0.2">
      <c r="A13" s="53"/>
      <c r="B13" s="99">
        <v>2</v>
      </c>
      <c r="C13" s="99" t="s">
        <v>479</v>
      </c>
      <c r="D13" s="140" t="s">
        <v>480</v>
      </c>
      <c r="E13" s="101" t="s">
        <v>476</v>
      </c>
      <c r="F13" s="121" t="s">
        <v>481</v>
      </c>
      <c r="G13" s="91" t="s">
        <v>169</v>
      </c>
      <c r="H13" s="91" t="s">
        <v>478</v>
      </c>
      <c r="I13" s="59"/>
      <c r="J13" s="31"/>
      <c r="K13" s="31"/>
    </row>
    <row r="14" spans="1:11" s="42" customFormat="1" ht="15" customHeight="1" x14ac:dyDescent="0.2">
      <c r="A14" s="53"/>
      <c r="B14" s="99">
        <v>3</v>
      </c>
      <c r="C14" s="99" t="s">
        <v>482</v>
      </c>
      <c r="D14" s="140" t="s">
        <v>483</v>
      </c>
      <c r="E14" s="101" t="s">
        <v>484</v>
      </c>
      <c r="F14" s="121" t="s">
        <v>485</v>
      </c>
      <c r="G14" s="91" t="s">
        <v>174</v>
      </c>
      <c r="H14" s="91" t="s">
        <v>478</v>
      </c>
      <c r="I14" s="59"/>
      <c r="J14" s="31"/>
      <c r="K14" s="31"/>
    </row>
    <row r="15" spans="1:11" s="42" customFormat="1" ht="15" customHeight="1" x14ac:dyDescent="0.2">
      <c r="A15" s="53"/>
      <c r="B15" s="99">
        <v>4</v>
      </c>
      <c r="C15" s="99" t="s">
        <v>486</v>
      </c>
      <c r="D15" s="140" t="s">
        <v>487</v>
      </c>
      <c r="E15" s="101" t="s">
        <v>488</v>
      </c>
      <c r="F15" s="121" t="s">
        <v>489</v>
      </c>
      <c r="G15" s="91" t="s">
        <v>169</v>
      </c>
      <c r="H15" s="91" t="s">
        <v>478</v>
      </c>
      <c r="I15" s="59"/>
      <c r="J15" s="31"/>
      <c r="K15" s="31"/>
    </row>
    <row r="16" spans="1:11" s="42" customFormat="1" ht="15" customHeight="1" x14ac:dyDescent="0.2">
      <c r="A16" s="53"/>
      <c r="B16" s="99">
        <v>5</v>
      </c>
      <c r="C16" s="99" t="s">
        <v>490</v>
      </c>
      <c r="D16" s="140" t="s">
        <v>491</v>
      </c>
      <c r="E16" s="101" t="s">
        <v>488</v>
      </c>
      <c r="F16" s="121" t="s">
        <v>492</v>
      </c>
      <c r="G16" s="91" t="s">
        <v>169</v>
      </c>
      <c r="H16" s="91" t="s">
        <v>478</v>
      </c>
      <c r="I16" s="59"/>
      <c r="J16" s="31"/>
      <c r="K16" s="31"/>
    </row>
    <row r="17" spans="1:11" s="42" customFormat="1" ht="15" customHeight="1" x14ac:dyDescent="0.2">
      <c r="A17" s="53"/>
      <c r="B17" s="99">
        <v>6</v>
      </c>
      <c r="C17" s="99" t="s">
        <v>493</v>
      </c>
      <c r="D17" s="140" t="s">
        <v>494</v>
      </c>
      <c r="E17" s="101" t="s">
        <v>484</v>
      </c>
      <c r="F17" s="121" t="s">
        <v>495</v>
      </c>
      <c r="G17" s="91" t="s">
        <v>174</v>
      </c>
      <c r="H17" s="91" t="s">
        <v>478</v>
      </c>
      <c r="I17" s="59"/>
      <c r="J17" s="31"/>
      <c r="K17" s="31"/>
    </row>
    <row r="18" spans="1:11" s="42" customFormat="1" ht="15" customHeight="1" x14ac:dyDescent="0.2">
      <c r="A18" s="53"/>
      <c r="B18" s="99">
        <v>7</v>
      </c>
      <c r="C18" s="99" t="s">
        <v>496</v>
      </c>
      <c r="D18" s="140" t="s">
        <v>497</v>
      </c>
      <c r="E18" s="101" t="s">
        <v>484</v>
      </c>
      <c r="F18" s="121" t="s">
        <v>498</v>
      </c>
      <c r="G18" s="91" t="s">
        <v>174</v>
      </c>
      <c r="H18" s="91" t="s">
        <v>478</v>
      </c>
      <c r="I18" s="59"/>
      <c r="J18" s="31"/>
      <c r="K18" s="31"/>
    </row>
    <row r="19" spans="1:11" s="42" customFormat="1" ht="15" customHeight="1" x14ac:dyDescent="0.2">
      <c r="A19" s="53"/>
      <c r="B19" s="99">
        <v>8</v>
      </c>
      <c r="C19" s="99" t="s">
        <v>499</v>
      </c>
      <c r="D19" s="140" t="s">
        <v>500</v>
      </c>
      <c r="E19" s="101" t="s">
        <v>501</v>
      </c>
      <c r="F19" s="121" t="s">
        <v>502</v>
      </c>
      <c r="G19" s="91" t="s">
        <v>210</v>
      </c>
      <c r="H19" s="91" t="s">
        <v>478</v>
      </c>
      <c r="I19" s="59"/>
      <c r="J19" s="31"/>
      <c r="K19" s="31"/>
    </row>
    <row r="20" spans="1:11" s="42" customFormat="1" ht="15" customHeight="1" x14ac:dyDescent="0.2">
      <c r="A20" s="53"/>
      <c r="B20" s="99">
        <v>9</v>
      </c>
      <c r="C20" s="99" t="s">
        <v>503</v>
      </c>
      <c r="D20" s="140" t="s">
        <v>504</v>
      </c>
      <c r="E20" s="101" t="s">
        <v>484</v>
      </c>
      <c r="F20" s="121" t="s">
        <v>505</v>
      </c>
      <c r="G20" s="91" t="s">
        <v>210</v>
      </c>
      <c r="H20" s="91" t="s">
        <v>478</v>
      </c>
      <c r="I20" s="59"/>
      <c r="J20" s="31"/>
      <c r="K20" s="31"/>
    </row>
    <row r="21" spans="1:11" s="42" customFormat="1" ht="15" customHeight="1" x14ac:dyDescent="0.2">
      <c r="A21" s="53"/>
      <c r="B21" s="99">
        <v>10</v>
      </c>
      <c r="C21" s="99" t="s">
        <v>506</v>
      </c>
      <c r="D21" s="140" t="s">
        <v>507</v>
      </c>
      <c r="E21" s="101" t="s">
        <v>484</v>
      </c>
      <c r="F21" s="121" t="s">
        <v>508</v>
      </c>
      <c r="G21" s="91" t="s">
        <v>174</v>
      </c>
      <c r="H21" s="91" t="s">
        <v>478</v>
      </c>
      <c r="I21" s="59"/>
      <c r="J21" s="31"/>
      <c r="K21" s="31"/>
    </row>
    <row r="22" spans="1:11" s="42" customFormat="1" ht="15" customHeight="1" x14ac:dyDescent="0.2">
      <c r="A22" s="53"/>
      <c r="B22" s="99">
        <v>11</v>
      </c>
      <c r="C22" s="99" t="s">
        <v>401</v>
      </c>
      <c r="D22" s="140" t="s">
        <v>402</v>
      </c>
      <c r="E22" s="101" t="s">
        <v>403</v>
      </c>
      <c r="F22" s="121" t="s">
        <v>404</v>
      </c>
      <c r="G22" s="91" t="s">
        <v>169</v>
      </c>
      <c r="H22" s="91" t="s">
        <v>405</v>
      </c>
      <c r="I22" s="59"/>
      <c r="J22" s="31"/>
      <c r="K22" s="31"/>
    </row>
    <row r="23" spans="1:11" s="42" customFormat="1" ht="15" customHeight="1" x14ac:dyDescent="0.2">
      <c r="A23" s="53"/>
      <c r="B23" s="99">
        <v>12</v>
      </c>
      <c r="C23" s="99" t="s">
        <v>406</v>
      </c>
      <c r="D23" s="140" t="s">
        <v>407</v>
      </c>
      <c r="E23" s="101" t="s">
        <v>403</v>
      </c>
      <c r="F23" s="121" t="s">
        <v>408</v>
      </c>
      <c r="G23" s="91" t="s">
        <v>169</v>
      </c>
      <c r="H23" s="91" t="s">
        <v>405</v>
      </c>
      <c r="I23" s="59"/>
      <c r="J23" s="31"/>
      <c r="K23" s="31"/>
    </row>
    <row r="24" spans="1:11" s="42" customFormat="1" ht="15" customHeight="1" x14ac:dyDescent="0.2">
      <c r="A24" s="53"/>
      <c r="B24" s="99">
        <v>13</v>
      </c>
      <c r="C24" s="99" t="s">
        <v>409</v>
      </c>
      <c r="D24" s="140" t="s">
        <v>410</v>
      </c>
      <c r="E24" s="101" t="s">
        <v>403</v>
      </c>
      <c r="F24" s="121" t="s">
        <v>411</v>
      </c>
      <c r="G24" s="91" t="s">
        <v>174</v>
      </c>
      <c r="H24" s="91" t="s">
        <v>405</v>
      </c>
      <c r="I24" s="59"/>
      <c r="J24" s="31"/>
      <c r="K24" s="31"/>
    </row>
    <row r="25" spans="1:11" s="42" customFormat="1" ht="15" customHeight="1" x14ac:dyDescent="0.2">
      <c r="A25" s="53"/>
      <c r="B25" s="99">
        <v>14</v>
      </c>
      <c r="C25" s="99" t="s">
        <v>412</v>
      </c>
      <c r="D25" s="140" t="s">
        <v>413</v>
      </c>
      <c r="E25" s="101" t="s">
        <v>403</v>
      </c>
      <c r="F25" s="121" t="s">
        <v>414</v>
      </c>
      <c r="G25" s="91" t="s">
        <v>174</v>
      </c>
      <c r="H25" s="91" t="s">
        <v>405</v>
      </c>
      <c r="I25" s="59"/>
      <c r="J25" s="31"/>
      <c r="K25" s="31"/>
    </row>
    <row r="26" spans="1:11" s="42" customFormat="1" ht="15" customHeight="1" x14ac:dyDescent="0.2">
      <c r="A26" s="53"/>
      <c r="B26" s="99">
        <v>15</v>
      </c>
      <c r="C26" s="99" t="s">
        <v>415</v>
      </c>
      <c r="D26" s="140" t="s">
        <v>416</v>
      </c>
      <c r="E26" s="101" t="s">
        <v>403</v>
      </c>
      <c r="F26" s="121" t="s">
        <v>417</v>
      </c>
      <c r="G26" s="91" t="s">
        <v>210</v>
      </c>
      <c r="H26" s="91" t="s">
        <v>405</v>
      </c>
      <c r="I26" s="59"/>
      <c r="J26" s="31"/>
      <c r="K26" s="31"/>
    </row>
    <row r="27" spans="1:11" s="42" customFormat="1" ht="15" customHeight="1" x14ac:dyDescent="0.2">
      <c r="A27" s="53"/>
      <c r="B27" s="99">
        <v>16</v>
      </c>
      <c r="C27" s="99" t="s">
        <v>418</v>
      </c>
      <c r="D27" s="140" t="s">
        <v>419</v>
      </c>
      <c r="E27" s="101" t="s">
        <v>403</v>
      </c>
      <c r="F27" s="121" t="s">
        <v>420</v>
      </c>
      <c r="G27" s="91" t="s">
        <v>210</v>
      </c>
      <c r="H27" s="91" t="s">
        <v>405</v>
      </c>
      <c r="I27" s="59"/>
      <c r="J27" s="31"/>
      <c r="K27" s="31"/>
    </row>
    <row r="28" spans="1:11" s="42" customFormat="1" ht="15" customHeight="1" x14ac:dyDescent="0.2">
      <c r="A28" s="53"/>
      <c r="B28" s="99">
        <v>17</v>
      </c>
      <c r="C28" s="99" t="s">
        <v>421</v>
      </c>
      <c r="D28" s="140" t="s">
        <v>422</v>
      </c>
      <c r="E28" s="101" t="s">
        <v>403</v>
      </c>
      <c r="F28" s="121" t="s">
        <v>423</v>
      </c>
      <c r="G28" s="91" t="s">
        <v>210</v>
      </c>
      <c r="H28" s="91" t="s">
        <v>405</v>
      </c>
      <c r="I28" s="59"/>
      <c r="J28" s="31"/>
      <c r="K28" s="31"/>
    </row>
    <row r="29" spans="1:11" s="42" customFormat="1" ht="15" customHeight="1" x14ac:dyDescent="0.2">
      <c r="A29" s="53"/>
      <c r="B29" s="99">
        <v>18</v>
      </c>
      <c r="C29" s="99" t="s">
        <v>424</v>
      </c>
      <c r="D29" s="140" t="s">
        <v>425</v>
      </c>
      <c r="E29" s="101" t="s">
        <v>403</v>
      </c>
      <c r="F29" s="121" t="s">
        <v>426</v>
      </c>
      <c r="G29" s="91" t="s">
        <v>210</v>
      </c>
      <c r="H29" s="91" t="s">
        <v>405</v>
      </c>
      <c r="I29" s="59"/>
      <c r="J29" s="31"/>
      <c r="K29" s="31"/>
    </row>
    <row r="30" spans="1:11" s="42" customFormat="1" ht="15" customHeight="1" x14ac:dyDescent="0.2">
      <c r="A30" s="53"/>
      <c r="B30" s="99">
        <v>21</v>
      </c>
      <c r="C30" s="99" t="s">
        <v>378</v>
      </c>
      <c r="D30" s="140" t="s">
        <v>379</v>
      </c>
      <c r="E30" s="101" t="s">
        <v>380</v>
      </c>
      <c r="F30" s="121" t="s">
        <v>511</v>
      </c>
      <c r="G30" s="91" t="s">
        <v>169</v>
      </c>
      <c r="H30" s="91" t="s">
        <v>381</v>
      </c>
      <c r="I30" s="59"/>
      <c r="J30" s="31"/>
      <c r="K30" s="31"/>
    </row>
    <row r="31" spans="1:11" s="42" customFormat="1" ht="15" customHeight="1" x14ac:dyDescent="0.2">
      <c r="A31" s="53"/>
      <c r="B31" s="99">
        <v>22</v>
      </c>
      <c r="C31" s="99" t="s">
        <v>382</v>
      </c>
      <c r="D31" s="140" t="s">
        <v>383</v>
      </c>
      <c r="E31" s="101" t="s">
        <v>380</v>
      </c>
      <c r="F31" s="121" t="s">
        <v>510</v>
      </c>
      <c r="G31" s="91" t="s">
        <v>210</v>
      </c>
      <c r="H31" s="91" t="s">
        <v>381</v>
      </c>
      <c r="I31" s="59"/>
      <c r="J31" s="31"/>
      <c r="K31" s="31"/>
    </row>
    <row r="32" spans="1:11" s="42" customFormat="1" ht="15" customHeight="1" x14ac:dyDescent="0.2">
      <c r="A32" s="53"/>
      <c r="B32" s="99">
        <v>23</v>
      </c>
      <c r="C32" s="99" t="s">
        <v>384</v>
      </c>
      <c r="D32" s="140" t="s">
        <v>385</v>
      </c>
      <c r="E32" s="101" t="s">
        <v>380</v>
      </c>
      <c r="F32" s="121" t="s">
        <v>512</v>
      </c>
      <c r="G32" s="91" t="s">
        <v>210</v>
      </c>
      <c r="H32" s="91" t="s">
        <v>381</v>
      </c>
      <c r="I32" s="59"/>
      <c r="J32" s="31"/>
      <c r="K32" s="31"/>
    </row>
    <row r="33" spans="1:17" s="42" customFormat="1" ht="15" customHeight="1" x14ac:dyDescent="0.2">
      <c r="A33" s="53"/>
      <c r="B33" s="99">
        <v>24</v>
      </c>
      <c r="C33" s="99" t="s">
        <v>386</v>
      </c>
      <c r="D33" s="140" t="s">
        <v>387</v>
      </c>
      <c r="E33" s="101" t="s">
        <v>380</v>
      </c>
      <c r="F33" s="121" t="s">
        <v>513</v>
      </c>
      <c r="G33" s="91" t="s">
        <v>210</v>
      </c>
      <c r="H33" s="91" t="s">
        <v>381</v>
      </c>
      <c r="I33" s="59"/>
      <c r="J33" s="31"/>
      <c r="K33" s="31"/>
    </row>
    <row r="34" spans="1:17" s="42" customFormat="1" ht="15" customHeight="1" x14ac:dyDescent="0.2">
      <c r="A34" s="53"/>
      <c r="B34" s="99">
        <v>31</v>
      </c>
      <c r="C34" s="99" t="s">
        <v>329</v>
      </c>
      <c r="D34" s="140" t="s">
        <v>330</v>
      </c>
      <c r="E34" s="101" t="s">
        <v>331</v>
      </c>
      <c r="F34" s="121">
        <v>19314</v>
      </c>
      <c r="G34" s="91" t="s">
        <v>169</v>
      </c>
      <c r="H34" s="91" t="s">
        <v>332</v>
      </c>
      <c r="I34" s="59"/>
      <c r="J34" s="31"/>
      <c r="K34" s="31"/>
    </row>
    <row r="35" spans="1:17" s="42" customFormat="1" ht="15" customHeight="1" x14ac:dyDescent="0.2">
      <c r="A35" s="53"/>
      <c r="B35" s="99">
        <v>32</v>
      </c>
      <c r="C35" s="99" t="s">
        <v>333</v>
      </c>
      <c r="D35" s="140" t="s">
        <v>334</v>
      </c>
      <c r="E35" s="101" t="s">
        <v>335</v>
      </c>
      <c r="F35" s="121">
        <v>14658</v>
      </c>
      <c r="G35" s="91" t="s">
        <v>174</v>
      </c>
      <c r="H35" s="91" t="s">
        <v>332</v>
      </c>
      <c r="I35" s="59"/>
      <c r="J35" s="31"/>
      <c r="K35" s="31"/>
    </row>
    <row r="36" spans="1:17" s="42" customFormat="1" ht="15" customHeight="1" x14ac:dyDescent="0.2">
      <c r="A36" s="53"/>
      <c r="B36" s="99">
        <v>33</v>
      </c>
      <c r="C36" s="99" t="s">
        <v>336</v>
      </c>
      <c r="D36" s="140" t="s">
        <v>337</v>
      </c>
      <c r="E36" s="101" t="s">
        <v>335</v>
      </c>
      <c r="F36" s="121">
        <v>12178</v>
      </c>
      <c r="G36" s="91" t="s">
        <v>174</v>
      </c>
      <c r="H36" s="91" t="s">
        <v>332</v>
      </c>
      <c r="I36" s="59"/>
      <c r="J36" s="31"/>
      <c r="K36" s="31"/>
    </row>
    <row r="37" spans="1:17" s="42" customFormat="1" ht="15" customHeight="1" x14ac:dyDescent="0.2">
      <c r="A37" s="53"/>
      <c r="B37" s="99">
        <v>34</v>
      </c>
      <c r="C37" s="99" t="s">
        <v>338</v>
      </c>
      <c r="D37" s="140" t="s">
        <v>339</v>
      </c>
      <c r="E37" s="101" t="s">
        <v>340</v>
      </c>
      <c r="F37" s="121">
        <v>19574</v>
      </c>
      <c r="G37" s="91" t="s">
        <v>169</v>
      </c>
      <c r="H37" s="91" t="s">
        <v>332</v>
      </c>
      <c r="I37" s="59"/>
      <c r="J37" s="31"/>
      <c r="K37" s="31"/>
      <c r="Q37" s="141"/>
    </row>
    <row r="38" spans="1:17" s="42" customFormat="1" ht="15" customHeight="1" x14ac:dyDescent="0.2">
      <c r="A38" s="53"/>
      <c r="B38" s="99">
        <v>35</v>
      </c>
      <c r="C38" s="99" t="s">
        <v>341</v>
      </c>
      <c r="D38" s="140" t="s">
        <v>342</v>
      </c>
      <c r="E38" s="101" t="s">
        <v>331</v>
      </c>
      <c r="F38" s="121">
        <v>19969</v>
      </c>
      <c r="G38" s="91" t="s">
        <v>174</v>
      </c>
      <c r="H38" s="91" t="s">
        <v>332</v>
      </c>
      <c r="I38" s="59"/>
      <c r="J38" s="31"/>
      <c r="K38" s="31"/>
    </row>
    <row r="39" spans="1:17" s="42" customFormat="1" ht="15" customHeight="1" x14ac:dyDescent="0.2">
      <c r="A39" s="53"/>
      <c r="B39" s="99">
        <v>41</v>
      </c>
      <c r="C39" s="99" t="s">
        <v>247</v>
      </c>
      <c r="D39" s="140" t="s">
        <v>248</v>
      </c>
      <c r="E39" s="101" t="s">
        <v>249</v>
      </c>
      <c r="F39" s="121">
        <v>3358</v>
      </c>
      <c r="G39" s="91" t="s">
        <v>169</v>
      </c>
      <c r="H39" s="91" t="s">
        <v>250</v>
      </c>
      <c r="I39" s="59"/>
      <c r="J39" s="31"/>
      <c r="K39" s="31"/>
    </row>
    <row r="40" spans="1:17" s="42" customFormat="1" ht="15" customHeight="1" x14ac:dyDescent="0.2">
      <c r="A40" s="53"/>
      <c r="B40" s="99">
        <v>42</v>
      </c>
      <c r="C40" s="99" t="s">
        <v>251</v>
      </c>
      <c r="D40" s="140" t="s">
        <v>252</v>
      </c>
      <c r="E40" s="101" t="s">
        <v>253</v>
      </c>
      <c r="F40" s="121">
        <v>12251</v>
      </c>
      <c r="G40" s="91" t="s">
        <v>169</v>
      </c>
      <c r="H40" s="91" t="s">
        <v>250</v>
      </c>
      <c r="I40" s="59"/>
      <c r="J40" s="31"/>
      <c r="K40" s="31"/>
    </row>
    <row r="41" spans="1:17" s="42" customFormat="1" ht="15" customHeight="1" x14ac:dyDescent="0.2">
      <c r="A41" s="53"/>
      <c r="B41" s="99">
        <v>43</v>
      </c>
      <c r="C41" s="99" t="s">
        <v>254</v>
      </c>
      <c r="D41" s="140" t="s">
        <v>255</v>
      </c>
      <c r="E41" s="101" t="s">
        <v>253</v>
      </c>
      <c r="F41" s="121">
        <v>14334</v>
      </c>
      <c r="G41" s="91" t="s">
        <v>256</v>
      </c>
      <c r="H41" s="91" t="s">
        <v>250</v>
      </c>
      <c r="I41" s="59"/>
      <c r="J41" s="31"/>
      <c r="K41" s="31"/>
    </row>
    <row r="42" spans="1:17" s="42" customFormat="1" ht="15" customHeight="1" x14ac:dyDescent="0.2">
      <c r="A42" s="53"/>
      <c r="B42" s="99">
        <v>44</v>
      </c>
      <c r="C42" s="99" t="s">
        <v>257</v>
      </c>
      <c r="D42" s="140" t="s">
        <v>258</v>
      </c>
      <c r="E42" s="101" t="s">
        <v>253</v>
      </c>
      <c r="F42" s="121">
        <v>5366</v>
      </c>
      <c r="G42" s="91" t="s">
        <v>169</v>
      </c>
      <c r="H42" s="91" t="s">
        <v>250</v>
      </c>
      <c r="I42" s="59"/>
      <c r="J42" s="31"/>
      <c r="K42" s="31"/>
    </row>
    <row r="43" spans="1:17" s="42" customFormat="1" ht="15" customHeight="1" x14ac:dyDescent="0.2">
      <c r="A43" s="53"/>
      <c r="B43" s="99">
        <v>45</v>
      </c>
      <c r="C43" s="99" t="s">
        <v>259</v>
      </c>
      <c r="D43" s="140" t="s">
        <v>260</v>
      </c>
      <c r="E43" s="101" t="s">
        <v>253</v>
      </c>
      <c r="F43" s="121">
        <v>9859</v>
      </c>
      <c r="G43" s="91" t="s">
        <v>169</v>
      </c>
      <c r="H43" s="91" t="s">
        <v>250</v>
      </c>
      <c r="I43" s="59"/>
      <c r="J43" s="31"/>
      <c r="K43" s="31"/>
    </row>
    <row r="44" spans="1:17" s="42" customFormat="1" ht="15" customHeight="1" x14ac:dyDescent="0.2">
      <c r="A44" s="53"/>
      <c r="B44" s="99">
        <v>46</v>
      </c>
      <c r="C44" s="99" t="s">
        <v>261</v>
      </c>
      <c r="D44" s="140" t="s">
        <v>262</v>
      </c>
      <c r="E44" s="101" t="s">
        <v>253</v>
      </c>
      <c r="F44" s="121">
        <v>19278</v>
      </c>
      <c r="G44" s="91" t="s">
        <v>210</v>
      </c>
      <c r="H44" s="91" t="s">
        <v>250</v>
      </c>
      <c r="I44" s="59"/>
      <c r="J44" s="31"/>
      <c r="K44" s="31"/>
    </row>
    <row r="45" spans="1:17" s="42" customFormat="1" ht="15" customHeight="1" x14ac:dyDescent="0.2">
      <c r="A45" s="53"/>
      <c r="B45" s="99">
        <v>47</v>
      </c>
      <c r="C45" s="99" t="s">
        <v>263</v>
      </c>
      <c r="D45" s="140" t="s">
        <v>264</v>
      </c>
      <c r="E45" s="101" t="s">
        <v>253</v>
      </c>
      <c r="F45" s="121">
        <v>19279</v>
      </c>
      <c r="G45" s="91" t="s">
        <v>169</v>
      </c>
      <c r="H45" s="91" t="s">
        <v>250</v>
      </c>
      <c r="I45" s="59"/>
      <c r="J45" s="31"/>
      <c r="K45" s="31"/>
    </row>
    <row r="46" spans="1:17" s="42" customFormat="1" ht="15" customHeight="1" x14ac:dyDescent="0.2">
      <c r="A46" s="53"/>
      <c r="B46" s="99">
        <v>48</v>
      </c>
      <c r="C46" s="99" t="s">
        <v>265</v>
      </c>
      <c r="D46" s="140" t="s">
        <v>266</v>
      </c>
      <c r="E46" s="101" t="s">
        <v>253</v>
      </c>
      <c r="F46" s="121">
        <v>8749</v>
      </c>
      <c r="G46" s="91" t="s">
        <v>210</v>
      </c>
      <c r="H46" s="91" t="s">
        <v>250</v>
      </c>
      <c r="I46" s="59"/>
      <c r="J46" s="31"/>
      <c r="K46" s="31"/>
    </row>
    <row r="47" spans="1:17" s="42" customFormat="1" ht="15" customHeight="1" x14ac:dyDescent="0.2">
      <c r="A47" s="53"/>
      <c r="B47" s="99">
        <v>49</v>
      </c>
      <c r="C47" s="99" t="s">
        <v>267</v>
      </c>
      <c r="D47" s="140" t="s">
        <v>268</v>
      </c>
      <c r="E47" s="101" t="s">
        <v>253</v>
      </c>
      <c r="F47" s="121">
        <v>12955</v>
      </c>
      <c r="G47" s="91" t="s">
        <v>169</v>
      </c>
      <c r="H47" s="91" t="s">
        <v>250</v>
      </c>
      <c r="I47" s="59"/>
      <c r="J47" s="31"/>
      <c r="K47" s="31"/>
    </row>
    <row r="48" spans="1:17" s="42" customFormat="1" ht="15" customHeight="1" x14ac:dyDescent="0.2">
      <c r="A48" s="53"/>
      <c r="B48" s="99">
        <v>50</v>
      </c>
      <c r="C48" s="99" t="s">
        <v>269</v>
      </c>
      <c r="D48" s="140" t="s">
        <v>270</v>
      </c>
      <c r="E48" s="101" t="s">
        <v>253</v>
      </c>
      <c r="F48" s="121">
        <v>8884</v>
      </c>
      <c r="G48" s="91" t="s">
        <v>169</v>
      </c>
      <c r="H48" s="91" t="s">
        <v>250</v>
      </c>
      <c r="I48" s="59"/>
      <c r="J48" s="31"/>
      <c r="K48" s="31"/>
    </row>
    <row r="49" spans="1:11" s="42" customFormat="1" ht="15" customHeight="1" x14ac:dyDescent="0.2">
      <c r="A49" s="53"/>
      <c r="B49" s="99">
        <v>51</v>
      </c>
      <c r="C49" s="99" t="s">
        <v>207</v>
      </c>
      <c r="D49" s="140" t="s">
        <v>208</v>
      </c>
      <c r="E49" s="101" t="s">
        <v>209</v>
      </c>
      <c r="F49" s="121">
        <v>9870</v>
      </c>
      <c r="G49" s="91" t="s">
        <v>210</v>
      </c>
      <c r="H49" s="91" t="s">
        <v>211</v>
      </c>
      <c r="I49" s="59"/>
      <c r="J49" s="31"/>
      <c r="K49" s="31"/>
    </row>
    <row r="50" spans="1:11" s="42" customFormat="1" ht="15" customHeight="1" x14ac:dyDescent="0.2">
      <c r="A50" s="53"/>
      <c r="B50" s="99">
        <v>52</v>
      </c>
      <c r="C50" s="99" t="s">
        <v>212</v>
      </c>
      <c r="D50" s="140" t="s">
        <v>213</v>
      </c>
      <c r="E50" s="101" t="s">
        <v>214</v>
      </c>
      <c r="F50" s="121" t="s">
        <v>518</v>
      </c>
      <c r="G50" s="91" t="s">
        <v>169</v>
      </c>
      <c r="H50" s="91" t="s">
        <v>211</v>
      </c>
      <c r="I50" s="59"/>
      <c r="J50" s="31"/>
      <c r="K50" s="31"/>
    </row>
    <row r="51" spans="1:11" s="42" customFormat="1" ht="15" customHeight="1" x14ac:dyDescent="0.2">
      <c r="A51" s="53"/>
      <c r="B51" s="99">
        <v>53</v>
      </c>
      <c r="C51" s="99" t="s">
        <v>215</v>
      </c>
      <c r="D51" s="140" t="s">
        <v>216</v>
      </c>
      <c r="E51" s="101" t="s">
        <v>217</v>
      </c>
      <c r="F51" s="121">
        <v>20073</v>
      </c>
      <c r="G51" s="91" t="s">
        <v>210</v>
      </c>
      <c r="H51" s="91" t="s">
        <v>211</v>
      </c>
      <c r="I51" s="59"/>
      <c r="J51" s="31"/>
      <c r="K51" s="31"/>
    </row>
    <row r="52" spans="1:11" s="42" customFormat="1" ht="15" customHeight="1" x14ac:dyDescent="0.2">
      <c r="A52" s="53"/>
      <c r="B52" s="99">
        <v>54</v>
      </c>
      <c r="C52" s="99" t="s">
        <v>218</v>
      </c>
      <c r="D52" s="140" t="s">
        <v>219</v>
      </c>
      <c r="E52" s="101" t="s">
        <v>220</v>
      </c>
      <c r="F52" s="121" t="s">
        <v>515</v>
      </c>
      <c r="G52" s="91" t="s">
        <v>169</v>
      </c>
      <c r="H52" s="91" t="s">
        <v>211</v>
      </c>
      <c r="I52" s="59"/>
      <c r="J52" s="31"/>
      <c r="K52" s="31"/>
    </row>
    <row r="53" spans="1:11" s="42" customFormat="1" ht="15" customHeight="1" x14ac:dyDescent="0.2">
      <c r="A53" s="53"/>
      <c r="B53" s="99">
        <v>55</v>
      </c>
      <c r="C53" s="99" t="s">
        <v>221</v>
      </c>
      <c r="D53" s="140" t="s">
        <v>222</v>
      </c>
      <c r="E53" s="101" t="s">
        <v>220</v>
      </c>
      <c r="F53" s="121" t="s">
        <v>514</v>
      </c>
      <c r="G53" s="91" t="s">
        <v>210</v>
      </c>
      <c r="H53" s="91" t="s">
        <v>211</v>
      </c>
      <c r="I53" s="59"/>
      <c r="J53" s="31"/>
      <c r="K53" s="31"/>
    </row>
    <row r="54" spans="1:11" s="42" customFormat="1" ht="15" customHeight="1" x14ac:dyDescent="0.2">
      <c r="A54" s="53"/>
      <c r="B54" s="99">
        <v>56</v>
      </c>
      <c r="C54" s="99" t="s">
        <v>223</v>
      </c>
      <c r="D54" s="140" t="s">
        <v>224</v>
      </c>
      <c r="E54" s="101" t="s">
        <v>220</v>
      </c>
      <c r="F54" s="121" t="s">
        <v>517</v>
      </c>
      <c r="G54" s="91" t="s">
        <v>174</v>
      </c>
      <c r="H54" s="91" t="s">
        <v>211</v>
      </c>
      <c r="I54" s="59"/>
      <c r="J54" s="31"/>
      <c r="K54" s="31"/>
    </row>
    <row r="55" spans="1:11" s="42" customFormat="1" ht="15" customHeight="1" x14ac:dyDescent="0.2">
      <c r="A55" s="53"/>
      <c r="B55" s="99">
        <v>57</v>
      </c>
      <c r="C55" s="99" t="s">
        <v>225</v>
      </c>
      <c r="D55" s="140" t="s">
        <v>226</v>
      </c>
      <c r="E55" s="101" t="s">
        <v>220</v>
      </c>
      <c r="F55" s="121" t="s">
        <v>516</v>
      </c>
      <c r="G55" s="91" t="s">
        <v>174</v>
      </c>
      <c r="H55" s="91" t="s">
        <v>211</v>
      </c>
      <c r="I55" s="59"/>
      <c r="J55" s="31"/>
      <c r="K55" s="31"/>
    </row>
    <row r="56" spans="1:11" s="42" customFormat="1" ht="15" customHeight="1" x14ac:dyDescent="0.2">
      <c r="A56" s="53"/>
      <c r="B56" s="99">
        <v>58</v>
      </c>
      <c r="C56" s="99" t="s">
        <v>227</v>
      </c>
      <c r="D56" s="140" t="s">
        <v>228</v>
      </c>
      <c r="E56" s="101" t="s">
        <v>229</v>
      </c>
      <c r="F56" s="121">
        <v>7780</v>
      </c>
      <c r="G56" s="91" t="s">
        <v>174</v>
      </c>
      <c r="H56" s="91" t="s">
        <v>211</v>
      </c>
      <c r="I56" s="59"/>
      <c r="J56" s="31"/>
      <c r="K56" s="31"/>
    </row>
    <row r="57" spans="1:11" s="42" customFormat="1" ht="15" customHeight="1" x14ac:dyDescent="0.2">
      <c r="A57" s="53"/>
      <c r="B57" s="99">
        <v>59</v>
      </c>
      <c r="C57" s="99" t="s">
        <v>230</v>
      </c>
      <c r="D57" s="140" t="s">
        <v>231</v>
      </c>
      <c r="E57" s="101" t="s">
        <v>232</v>
      </c>
      <c r="F57" s="121">
        <v>16035</v>
      </c>
      <c r="G57" s="91" t="s">
        <v>169</v>
      </c>
      <c r="H57" s="91" t="s">
        <v>211</v>
      </c>
      <c r="I57" s="59"/>
      <c r="J57" s="31"/>
      <c r="K57" s="31"/>
    </row>
    <row r="58" spans="1:11" s="42" customFormat="1" ht="15" customHeight="1" x14ac:dyDescent="0.2">
      <c r="A58" s="53"/>
      <c r="B58" s="99">
        <v>61</v>
      </c>
      <c r="C58" s="99" t="s">
        <v>233</v>
      </c>
      <c r="D58" s="140" t="s">
        <v>234</v>
      </c>
      <c r="E58" s="101" t="s">
        <v>235</v>
      </c>
      <c r="F58" s="121" t="s">
        <v>522</v>
      </c>
      <c r="G58" s="91" t="s">
        <v>169</v>
      </c>
      <c r="H58" s="91" t="s">
        <v>236</v>
      </c>
      <c r="I58" s="59"/>
      <c r="J58" s="31"/>
      <c r="K58" s="31"/>
    </row>
    <row r="59" spans="1:11" s="42" customFormat="1" ht="15" customHeight="1" x14ac:dyDescent="0.2">
      <c r="A59" s="53"/>
      <c r="B59" s="99">
        <v>62</v>
      </c>
      <c r="C59" s="99" t="s">
        <v>237</v>
      </c>
      <c r="D59" s="140" t="s">
        <v>238</v>
      </c>
      <c r="E59" s="101" t="s">
        <v>235</v>
      </c>
      <c r="F59" s="121" t="s">
        <v>521</v>
      </c>
      <c r="G59" s="91" t="s">
        <v>174</v>
      </c>
      <c r="H59" s="91" t="s">
        <v>236</v>
      </c>
      <c r="I59" s="59"/>
      <c r="J59" s="31"/>
      <c r="K59" s="31"/>
    </row>
    <row r="60" spans="1:11" s="42" customFormat="1" ht="15" customHeight="1" x14ac:dyDescent="0.2">
      <c r="A60" s="53"/>
      <c r="B60" s="99">
        <v>63</v>
      </c>
      <c r="C60" s="99" t="s">
        <v>239</v>
      </c>
      <c r="D60" s="140" t="s">
        <v>240</v>
      </c>
      <c r="E60" s="101" t="s">
        <v>235</v>
      </c>
      <c r="F60" s="121" t="s">
        <v>524</v>
      </c>
      <c r="G60" s="91" t="s">
        <v>169</v>
      </c>
      <c r="H60" s="91" t="s">
        <v>236</v>
      </c>
      <c r="I60" s="59"/>
      <c r="J60" s="31"/>
      <c r="K60" s="31"/>
    </row>
    <row r="61" spans="1:11" s="42" customFormat="1" ht="15" customHeight="1" x14ac:dyDescent="0.2">
      <c r="A61" s="53"/>
      <c r="B61" s="99">
        <v>64</v>
      </c>
      <c r="C61" s="99" t="s">
        <v>241</v>
      </c>
      <c r="D61" s="140" t="s">
        <v>242</v>
      </c>
      <c r="E61" s="101" t="s">
        <v>235</v>
      </c>
      <c r="F61" s="121" t="s">
        <v>523</v>
      </c>
      <c r="G61" s="91" t="s">
        <v>169</v>
      </c>
      <c r="H61" s="91" t="s">
        <v>236</v>
      </c>
      <c r="I61" s="59"/>
      <c r="J61" s="31"/>
      <c r="K61" s="31"/>
    </row>
    <row r="62" spans="1:11" s="42" customFormat="1" ht="15" customHeight="1" x14ac:dyDescent="0.2">
      <c r="A62" s="53"/>
      <c r="B62" s="99">
        <v>65</v>
      </c>
      <c r="C62" s="99" t="s">
        <v>243</v>
      </c>
      <c r="D62" s="140" t="s">
        <v>244</v>
      </c>
      <c r="E62" s="101" t="s">
        <v>235</v>
      </c>
      <c r="F62" s="121" t="s">
        <v>520</v>
      </c>
      <c r="G62" s="91" t="s">
        <v>174</v>
      </c>
      <c r="H62" s="91" t="s">
        <v>236</v>
      </c>
      <c r="I62" s="59"/>
      <c r="J62" s="31"/>
      <c r="K62" s="31"/>
    </row>
    <row r="63" spans="1:11" s="42" customFormat="1" ht="15" customHeight="1" x14ac:dyDescent="0.2">
      <c r="A63" s="53"/>
      <c r="B63" s="99">
        <v>66</v>
      </c>
      <c r="C63" s="99" t="s">
        <v>245</v>
      </c>
      <c r="D63" s="140" t="s">
        <v>246</v>
      </c>
      <c r="E63" s="101" t="s">
        <v>235</v>
      </c>
      <c r="F63" s="121" t="s">
        <v>519</v>
      </c>
      <c r="G63" s="91" t="s">
        <v>210</v>
      </c>
      <c r="H63" s="91" t="s">
        <v>236</v>
      </c>
      <c r="I63" s="59"/>
      <c r="J63" s="31"/>
      <c r="K63" s="31"/>
    </row>
    <row r="64" spans="1:11" s="42" customFormat="1" ht="15" customHeight="1" x14ac:dyDescent="0.2">
      <c r="A64" s="53"/>
      <c r="B64" s="99">
        <v>71</v>
      </c>
      <c r="C64" s="99" t="s">
        <v>449</v>
      </c>
      <c r="D64" s="140" t="s">
        <v>450</v>
      </c>
      <c r="E64" s="101" t="s">
        <v>451</v>
      </c>
      <c r="F64" s="121">
        <v>6668</v>
      </c>
      <c r="G64" s="91" t="s">
        <v>174</v>
      </c>
      <c r="H64" s="91" t="s">
        <v>452</v>
      </c>
      <c r="I64" s="59"/>
      <c r="J64" s="31"/>
      <c r="K64" s="31"/>
    </row>
    <row r="65" spans="1:11" s="42" customFormat="1" ht="15" customHeight="1" x14ac:dyDescent="0.2">
      <c r="A65" s="53"/>
      <c r="B65" s="99">
        <v>72</v>
      </c>
      <c r="C65" s="99" t="s">
        <v>453</v>
      </c>
      <c r="D65" s="140" t="s">
        <v>454</v>
      </c>
      <c r="E65" s="101" t="s">
        <v>455</v>
      </c>
      <c r="F65" s="121">
        <v>5847</v>
      </c>
      <c r="G65" s="91" t="s">
        <v>169</v>
      </c>
      <c r="H65" s="91" t="s">
        <v>452</v>
      </c>
      <c r="I65" s="59"/>
      <c r="J65" s="31"/>
      <c r="K65" s="31"/>
    </row>
    <row r="66" spans="1:11" s="42" customFormat="1" ht="15" customHeight="1" x14ac:dyDescent="0.2">
      <c r="A66" s="53"/>
      <c r="B66" s="99">
        <v>73</v>
      </c>
      <c r="C66" s="99" t="s">
        <v>456</v>
      </c>
      <c r="D66" s="140" t="s">
        <v>457</v>
      </c>
      <c r="E66" s="101" t="s">
        <v>455</v>
      </c>
      <c r="F66" s="121">
        <v>6366</v>
      </c>
      <c r="G66" s="91" t="s">
        <v>174</v>
      </c>
      <c r="H66" s="91" t="s">
        <v>452</v>
      </c>
      <c r="I66" s="59"/>
      <c r="J66" s="31"/>
      <c r="K66" s="31"/>
    </row>
    <row r="67" spans="1:11" s="42" customFormat="1" ht="15" customHeight="1" x14ac:dyDescent="0.2">
      <c r="A67" s="53"/>
      <c r="B67" s="99">
        <v>74</v>
      </c>
      <c r="C67" s="99" t="s">
        <v>458</v>
      </c>
      <c r="D67" s="140" t="s">
        <v>459</v>
      </c>
      <c r="E67" s="101" t="s">
        <v>455</v>
      </c>
      <c r="F67" s="121">
        <v>5908</v>
      </c>
      <c r="G67" s="91" t="s">
        <v>210</v>
      </c>
      <c r="H67" s="91" t="s">
        <v>452</v>
      </c>
      <c r="I67" s="59"/>
      <c r="J67" s="31"/>
      <c r="K67" s="31"/>
    </row>
    <row r="68" spans="1:11" s="42" customFormat="1" ht="15" customHeight="1" x14ac:dyDescent="0.2">
      <c r="A68" s="53"/>
      <c r="B68" s="99">
        <v>75</v>
      </c>
      <c r="C68" s="99" t="s">
        <v>460</v>
      </c>
      <c r="D68" s="140" t="s">
        <v>461</v>
      </c>
      <c r="E68" s="101" t="s">
        <v>455</v>
      </c>
      <c r="F68" s="121">
        <v>6021</v>
      </c>
      <c r="G68" s="91" t="s">
        <v>210</v>
      </c>
      <c r="H68" s="91" t="s">
        <v>452</v>
      </c>
      <c r="I68" s="59"/>
      <c r="J68" s="31"/>
      <c r="K68" s="31"/>
    </row>
    <row r="69" spans="1:11" s="42" customFormat="1" ht="15" customHeight="1" x14ac:dyDescent="0.2">
      <c r="A69" s="53"/>
      <c r="B69" s="99">
        <v>81</v>
      </c>
      <c r="C69" s="99" t="s">
        <v>343</v>
      </c>
      <c r="D69" s="140" t="s">
        <v>344</v>
      </c>
      <c r="E69" s="101" t="s">
        <v>345</v>
      </c>
      <c r="F69" s="121">
        <v>13590</v>
      </c>
      <c r="G69" s="91" t="s">
        <v>210</v>
      </c>
      <c r="H69" s="91" t="s">
        <v>346</v>
      </c>
      <c r="I69" s="59"/>
      <c r="J69" s="31"/>
      <c r="K69" s="31"/>
    </row>
    <row r="70" spans="1:11" s="42" customFormat="1" ht="15" customHeight="1" x14ac:dyDescent="0.2">
      <c r="A70" s="53"/>
      <c r="B70" s="99">
        <v>82</v>
      </c>
      <c r="C70" s="99" t="s">
        <v>347</v>
      </c>
      <c r="D70" s="140" t="s">
        <v>348</v>
      </c>
      <c r="E70" s="101" t="s">
        <v>345</v>
      </c>
      <c r="F70" s="121">
        <v>17984</v>
      </c>
      <c r="G70" s="91" t="s">
        <v>169</v>
      </c>
      <c r="H70" s="91" t="s">
        <v>346</v>
      </c>
      <c r="I70" s="59"/>
      <c r="J70" s="31"/>
      <c r="K70" s="31"/>
    </row>
    <row r="71" spans="1:11" s="42" customFormat="1" ht="15" customHeight="1" x14ac:dyDescent="0.2">
      <c r="A71" s="53"/>
      <c r="B71" s="99">
        <v>83</v>
      </c>
      <c r="C71" s="99" t="s">
        <v>349</v>
      </c>
      <c r="D71" s="140" t="s">
        <v>350</v>
      </c>
      <c r="E71" s="101" t="s">
        <v>353</v>
      </c>
      <c r="F71" s="121">
        <v>14315</v>
      </c>
      <c r="G71" s="91" t="s">
        <v>169</v>
      </c>
      <c r="H71" s="91" t="s">
        <v>346</v>
      </c>
      <c r="I71" s="59"/>
      <c r="J71" s="31"/>
      <c r="K71" s="31"/>
    </row>
    <row r="72" spans="1:11" s="42" customFormat="1" ht="15" customHeight="1" x14ac:dyDescent="0.2">
      <c r="A72" s="53"/>
      <c r="B72" s="99">
        <v>84</v>
      </c>
      <c r="C72" s="99" t="s">
        <v>351</v>
      </c>
      <c r="D72" s="140" t="s">
        <v>352</v>
      </c>
      <c r="E72" s="101" t="s">
        <v>353</v>
      </c>
      <c r="F72" s="121">
        <v>35143</v>
      </c>
      <c r="G72" s="91" t="s">
        <v>174</v>
      </c>
      <c r="H72" s="91" t="s">
        <v>346</v>
      </c>
      <c r="I72" s="59"/>
      <c r="J72" s="31"/>
      <c r="K72" s="31"/>
    </row>
    <row r="73" spans="1:11" s="42" customFormat="1" ht="15" customHeight="1" x14ac:dyDescent="0.2">
      <c r="A73" s="53"/>
      <c r="B73" s="99">
        <v>85</v>
      </c>
      <c r="C73" s="99" t="s">
        <v>354</v>
      </c>
      <c r="D73" s="140" t="s">
        <v>355</v>
      </c>
      <c r="E73" s="101" t="s">
        <v>356</v>
      </c>
      <c r="F73" s="121">
        <v>10880</v>
      </c>
      <c r="G73" s="91" t="s">
        <v>174</v>
      </c>
      <c r="H73" s="91" t="s">
        <v>346</v>
      </c>
      <c r="I73" s="59"/>
      <c r="J73" s="31"/>
      <c r="K73" s="31"/>
    </row>
    <row r="74" spans="1:11" s="42" customFormat="1" ht="15" customHeight="1" x14ac:dyDescent="0.2">
      <c r="A74" s="53"/>
      <c r="B74" s="99">
        <v>91</v>
      </c>
      <c r="C74" s="99" t="s">
        <v>190</v>
      </c>
      <c r="D74" s="140" t="s">
        <v>191</v>
      </c>
      <c r="E74" s="101" t="s">
        <v>192</v>
      </c>
      <c r="F74" s="121">
        <v>13738</v>
      </c>
      <c r="G74" s="91" t="s">
        <v>174</v>
      </c>
      <c r="H74" s="91" t="s">
        <v>42</v>
      </c>
      <c r="I74" s="59"/>
      <c r="J74" s="31"/>
      <c r="K74" s="31"/>
    </row>
    <row r="75" spans="1:11" s="42" customFormat="1" ht="15" customHeight="1" x14ac:dyDescent="0.2">
      <c r="A75" s="53"/>
      <c r="B75" s="99">
        <v>92</v>
      </c>
      <c r="C75" s="99" t="s">
        <v>193</v>
      </c>
      <c r="D75" s="140" t="s">
        <v>194</v>
      </c>
      <c r="E75" s="101" t="s">
        <v>192</v>
      </c>
      <c r="F75" s="121">
        <v>14284</v>
      </c>
      <c r="G75" s="91" t="s">
        <v>174</v>
      </c>
      <c r="H75" s="91" t="s">
        <v>42</v>
      </c>
      <c r="I75" s="59"/>
      <c r="J75" s="31"/>
      <c r="K75" s="31"/>
    </row>
    <row r="76" spans="1:11" s="42" customFormat="1" ht="15" customHeight="1" x14ac:dyDescent="0.2">
      <c r="A76" s="53"/>
      <c r="B76" s="99">
        <v>93</v>
      </c>
      <c r="C76" s="99" t="s">
        <v>195</v>
      </c>
      <c r="D76" s="140" t="s">
        <v>196</v>
      </c>
      <c r="E76" s="101" t="s">
        <v>192</v>
      </c>
      <c r="F76" s="121">
        <v>13075</v>
      </c>
      <c r="G76" s="91" t="s">
        <v>169</v>
      </c>
      <c r="H76" s="91" t="s">
        <v>42</v>
      </c>
      <c r="I76" s="59"/>
      <c r="J76" s="31"/>
      <c r="K76" s="31"/>
    </row>
    <row r="77" spans="1:11" s="42" customFormat="1" ht="15" customHeight="1" x14ac:dyDescent="0.2">
      <c r="A77" s="53"/>
      <c r="B77" s="99">
        <v>94</v>
      </c>
      <c r="C77" s="99" t="s">
        <v>197</v>
      </c>
      <c r="D77" s="140" t="s">
        <v>198</v>
      </c>
      <c r="E77" s="101" t="s">
        <v>192</v>
      </c>
      <c r="F77" s="121">
        <v>9917</v>
      </c>
      <c r="G77" s="91" t="s">
        <v>174</v>
      </c>
      <c r="H77" s="91" t="s">
        <v>42</v>
      </c>
      <c r="I77" s="59"/>
      <c r="J77" s="31"/>
      <c r="K77" s="31"/>
    </row>
    <row r="78" spans="1:11" s="42" customFormat="1" ht="15" customHeight="1" x14ac:dyDescent="0.2">
      <c r="A78" s="53"/>
      <c r="B78" s="99">
        <v>95</v>
      </c>
      <c r="C78" s="99" t="s">
        <v>199</v>
      </c>
      <c r="D78" s="140" t="s">
        <v>200</v>
      </c>
      <c r="E78" s="101" t="s">
        <v>192</v>
      </c>
      <c r="F78" s="121">
        <v>13204</v>
      </c>
      <c r="G78" s="91" t="s">
        <v>174</v>
      </c>
      <c r="H78" s="91" t="s">
        <v>42</v>
      </c>
      <c r="I78" s="59"/>
      <c r="J78" s="31"/>
      <c r="K78" s="31"/>
    </row>
    <row r="79" spans="1:11" s="42" customFormat="1" ht="15" customHeight="1" x14ac:dyDescent="0.2">
      <c r="A79" s="53"/>
      <c r="B79" s="99">
        <v>96</v>
      </c>
      <c r="C79" s="99" t="s">
        <v>201</v>
      </c>
      <c r="D79" s="140" t="s">
        <v>202</v>
      </c>
      <c r="E79" s="101" t="s">
        <v>192</v>
      </c>
      <c r="F79" s="121">
        <v>8369</v>
      </c>
      <c r="G79" s="91" t="s">
        <v>169</v>
      </c>
      <c r="H79" s="91" t="s">
        <v>42</v>
      </c>
      <c r="I79" s="59"/>
      <c r="J79" s="31"/>
      <c r="K79" s="31"/>
    </row>
    <row r="80" spans="1:11" s="42" customFormat="1" ht="15" customHeight="1" x14ac:dyDescent="0.2">
      <c r="A80" s="53"/>
      <c r="B80" s="99">
        <v>97</v>
      </c>
      <c r="C80" s="99" t="s">
        <v>203</v>
      </c>
      <c r="D80" s="140" t="s">
        <v>204</v>
      </c>
      <c r="E80" s="101" t="s">
        <v>192</v>
      </c>
      <c r="F80" s="121">
        <v>6009</v>
      </c>
      <c r="G80" s="91" t="s">
        <v>169</v>
      </c>
      <c r="H80" s="91" t="s">
        <v>42</v>
      </c>
      <c r="I80" s="59"/>
      <c r="J80" s="31"/>
      <c r="K80" s="31"/>
    </row>
    <row r="81" spans="1:11" s="42" customFormat="1" ht="15" customHeight="1" x14ac:dyDescent="0.2">
      <c r="A81" s="53"/>
      <c r="B81" s="99">
        <v>98</v>
      </c>
      <c r="C81" s="99" t="s">
        <v>205</v>
      </c>
      <c r="D81" s="140" t="s">
        <v>206</v>
      </c>
      <c r="E81" s="101" t="s">
        <v>192</v>
      </c>
      <c r="F81" s="121">
        <v>11566</v>
      </c>
      <c r="G81" s="91" t="s">
        <v>169</v>
      </c>
      <c r="H81" s="91" t="s">
        <v>42</v>
      </c>
      <c r="I81" s="59"/>
      <c r="J81" s="31"/>
      <c r="K81" s="31"/>
    </row>
    <row r="82" spans="1:11" s="42" customFormat="1" ht="15" customHeight="1" x14ac:dyDescent="0.2">
      <c r="A82" s="53"/>
      <c r="B82" s="99">
        <v>101</v>
      </c>
      <c r="C82" s="99" t="s">
        <v>271</v>
      </c>
      <c r="D82" s="140" t="s">
        <v>272</v>
      </c>
      <c r="E82" s="101" t="s">
        <v>273</v>
      </c>
      <c r="F82" s="121">
        <v>9818</v>
      </c>
      <c r="G82" s="91" t="s">
        <v>174</v>
      </c>
      <c r="H82" s="91" t="s">
        <v>274</v>
      </c>
      <c r="I82" s="59"/>
      <c r="J82" s="31"/>
      <c r="K82" s="31"/>
    </row>
    <row r="83" spans="1:11" s="42" customFormat="1" ht="15" customHeight="1" x14ac:dyDescent="0.2">
      <c r="A83" s="53"/>
      <c r="B83" s="99">
        <v>102</v>
      </c>
      <c r="C83" s="99" t="s">
        <v>275</v>
      </c>
      <c r="D83" s="140" t="s">
        <v>276</v>
      </c>
      <c r="E83" s="101" t="s">
        <v>273</v>
      </c>
      <c r="F83" s="121">
        <v>12235</v>
      </c>
      <c r="G83" s="91" t="s">
        <v>256</v>
      </c>
      <c r="H83" s="91" t="s">
        <v>274</v>
      </c>
      <c r="I83" s="59"/>
      <c r="J83" s="31"/>
      <c r="K83" s="31"/>
    </row>
    <row r="84" spans="1:11" s="42" customFormat="1" ht="15" customHeight="1" x14ac:dyDescent="0.2">
      <c r="A84" s="53"/>
      <c r="B84" s="99">
        <v>103</v>
      </c>
      <c r="C84" s="99" t="s">
        <v>277</v>
      </c>
      <c r="D84" s="140" t="s">
        <v>278</v>
      </c>
      <c r="E84" s="101" t="s">
        <v>273</v>
      </c>
      <c r="F84" s="121">
        <v>9610</v>
      </c>
      <c r="G84" s="91" t="s">
        <v>174</v>
      </c>
      <c r="H84" s="91" t="s">
        <v>274</v>
      </c>
      <c r="I84" s="59"/>
      <c r="J84" s="31"/>
      <c r="K84" s="31"/>
    </row>
    <row r="85" spans="1:11" s="42" customFormat="1" ht="15" customHeight="1" x14ac:dyDescent="0.2">
      <c r="A85" s="53"/>
      <c r="B85" s="99">
        <v>104</v>
      </c>
      <c r="C85" s="99" t="s">
        <v>279</v>
      </c>
      <c r="D85" s="140" t="s">
        <v>280</v>
      </c>
      <c r="E85" s="101" t="s">
        <v>281</v>
      </c>
      <c r="F85" s="121">
        <v>119368</v>
      </c>
      <c r="G85" s="91" t="s">
        <v>169</v>
      </c>
      <c r="H85" s="91" t="s">
        <v>274</v>
      </c>
      <c r="I85" s="59"/>
      <c r="J85" s="31"/>
      <c r="K85" s="31"/>
    </row>
    <row r="86" spans="1:11" s="42" customFormat="1" ht="15" customHeight="1" x14ac:dyDescent="0.2">
      <c r="A86" s="53"/>
      <c r="B86" s="99">
        <v>105</v>
      </c>
      <c r="C86" s="99" t="s">
        <v>282</v>
      </c>
      <c r="D86" s="140" t="s">
        <v>283</v>
      </c>
      <c r="E86" s="101" t="s">
        <v>284</v>
      </c>
      <c r="F86" s="121">
        <v>7437</v>
      </c>
      <c r="G86" s="91" t="s">
        <v>169</v>
      </c>
      <c r="H86" s="91" t="s">
        <v>274</v>
      </c>
      <c r="I86" s="59"/>
      <c r="J86" s="31"/>
      <c r="K86" s="31"/>
    </row>
    <row r="87" spans="1:11" s="42" customFormat="1" ht="15" customHeight="1" x14ac:dyDescent="0.2">
      <c r="A87" s="53"/>
      <c r="B87" s="99">
        <v>106</v>
      </c>
      <c r="C87" s="99" t="s">
        <v>285</v>
      </c>
      <c r="D87" s="140" t="s">
        <v>286</v>
      </c>
      <c r="E87" s="101" t="s">
        <v>287</v>
      </c>
      <c r="F87" s="121">
        <v>9623</v>
      </c>
      <c r="G87" s="91" t="s">
        <v>174</v>
      </c>
      <c r="H87" s="91" t="s">
        <v>274</v>
      </c>
      <c r="I87" s="59"/>
      <c r="J87" s="31"/>
      <c r="K87" s="31"/>
    </row>
    <row r="88" spans="1:11" s="42" customFormat="1" ht="15" customHeight="1" x14ac:dyDescent="0.2">
      <c r="A88" s="53"/>
      <c r="B88" s="99">
        <v>107</v>
      </c>
      <c r="C88" s="99" t="s">
        <v>288</v>
      </c>
      <c r="D88" s="140" t="s">
        <v>289</v>
      </c>
      <c r="E88" s="101" t="s">
        <v>290</v>
      </c>
      <c r="F88" s="121">
        <v>9167</v>
      </c>
      <c r="G88" s="91" t="s">
        <v>174</v>
      </c>
      <c r="H88" s="91" t="s">
        <v>274</v>
      </c>
      <c r="I88" s="59"/>
      <c r="J88" s="31"/>
      <c r="K88" s="31"/>
    </row>
    <row r="89" spans="1:11" s="42" customFormat="1" ht="15" customHeight="1" x14ac:dyDescent="0.2">
      <c r="A89" s="53"/>
      <c r="B89" s="99">
        <v>111</v>
      </c>
      <c r="C89" s="99" t="s">
        <v>165</v>
      </c>
      <c r="D89" s="140" t="s">
        <v>166</v>
      </c>
      <c r="E89" s="101" t="s">
        <v>167</v>
      </c>
      <c r="F89" s="121" t="s">
        <v>168</v>
      </c>
      <c r="G89" s="91" t="s">
        <v>169</v>
      </c>
      <c r="H89" s="91" t="s">
        <v>170</v>
      </c>
      <c r="I89" s="59"/>
      <c r="J89" s="31"/>
      <c r="K89" s="31"/>
    </row>
    <row r="90" spans="1:11" s="42" customFormat="1" ht="15" customHeight="1" x14ac:dyDescent="0.2">
      <c r="A90" s="53"/>
      <c r="B90" s="99">
        <v>112</v>
      </c>
      <c r="C90" s="99" t="s">
        <v>171</v>
      </c>
      <c r="D90" s="140" t="s">
        <v>172</v>
      </c>
      <c r="E90" s="101" t="s">
        <v>167</v>
      </c>
      <c r="F90" s="121" t="s">
        <v>173</v>
      </c>
      <c r="G90" s="91" t="s">
        <v>174</v>
      </c>
      <c r="H90" s="91" t="s">
        <v>170</v>
      </c>
      <c r="I90" s="59"/>
      <c r="J90" s="31"/>
      <c r="K90" s="31"/>
    </row>
    <row r="91" spans="1:11" s="42" customFormat="1" ht="15" customHeight="1" x14ac:dyDescent="0.2">
      <c r="A91" s="53"/>
      <c r="B91" s="99">
        <v>113</v>
      </c>
      <c r="C91" s="99" t="s">
        <v>175</v>
      </c>
      <c r="D91" s="140" t="s">
        <v>176</v>
      </c>
      <c r="E91" s="101" t="s">
        <v>167</v>
      </c>
      <c r="F91" s="121" t="s">
        <v>177</v>
      </c>
      <c r="G91" s="91" t="s">
        <v>169</v>
      </c>
      <c r="H91" s="91" t="s">
        <v>170</v>
      </c>
      <c r="I91" s="59"/>
      <c r="J91" s="31"/>
      <c r="K91" s="31"/>
    </row>
    <row r="92" spans="1:11" s="42" customFormat="1" ht="15" customHeight="1" x14ac:dyDescent="0.2">
      <c r="A92" s="53"/>
      <c r="B92" s="99">
        <v>114</v>
      </c>
      <c r="C92" s="99" t="s">
        <v>178</v>
      </c>
      <c r="D92" s="140" t="s">
        <v>179</v>
      </c>
      <c r="E92" s="101" t="s">
        <v>167</v>
      </c>
      <c r="F92" s="121" t="s">
        <v>180</v>
      </c>
      <c r="G92" s="91" t="s">
        <v>169</v>
      </c>
      <c r="H92" s="91" t="s">
        <v>170</v>
      </c>
      <c r="I92" s="59"/>
      <c r="J92" s="31"/>
      <c r="K92" s="31"/>
    </row>
    <row r="93" spans="1:11" s="42" customFormat="1" ht="15" customHeight="1" x14ac:dyDescent="0.2">
      <c r="A93" s="53"/>
      <c r="B93" s="99">
        <v>115</v>
      </c>
      <c r="C93" s="99" t="s">
        <v>181</v>
      </c>
      <c r="D93" s="140" t="s">
        <v>182</v>
      </c>
      <c r="E93" s="101" t="s">
        <v>167</v>
      </c>
      <c r="F93" s="121" t="s">
        <v>183</v>
      </c>
      <c r="G93" s="91" t="s">
        <v>169</v>
      </c>
      <c r="H93" s="91" t="s">
        <v>170</v>
      </c>
      <c r="I93" s="59"/>
      <c r="J93" s="31"/>
      <c r="K93" s="31"/>
    </row>
    <row r="94" spans="1:11" s="42" customFormat="1" ht="15" customHeight="1" x14ac:dyDescent="0.2">
      <c r="A94" s="53"/>
      <c r="B94" s="99">
        <v>116</v>
      </c>
      <c r="C94" s="99" t="s">
        <v>184</v>
      </c>
      <c r="D94" s="140" t="s">
        <v>185</v>
      </c>
      <c r="E94" s="101" t="s">
        <v>167</v>
      </c>
      <c r="F94" s="121" t="s">
        <v>186</v>
      </c>
      <c r="G94" s="91" t="s">
        <v>169</v>
      </c>
      <c r="H94" s="91" t="s">
        <v>170</v>
      </c>
      <c r="I94" s="59"/>
      <c r="J94" s="31"/>
      <c r="K94" s="31"/>
    </row>
    <row r="95" spans="1:11" s="42" customFormat="1" ht="15" customHeight="1" x14ac:dyDescent="0.2">
      <c r="A95" s="53"/>
      <c r="B95" s="99">
        <v>117</v>
      </c>
      <c r="C95" s="99" t="s">
        <v>187</v>
      </c>
      <c r="D95" s="140" t="s">
        <v>188</v>
      </c>
      <c r="E95" s="101" t="s">
        <v>167</v>
      </c>
      <c r="F95" s="121" t="s">
        <v>189</v>
      </c>
      <c r="G95" s="91" t="s">
        <v>174</v>
      </c>
      <c r="H95" s="91" t="s">
        <v>170</v>
      </c>
      <c r="I95" s="59"/>
      <c r="J95" s="31"/>
      <c r="K95" s="31"/>
    </row>
    <row r="96" spans="1:11" s="42" customFormat="1" ht="15" customHeight="1" x14ac:dyDescent="0.2">
      <c r="A96" s="53"/>
      <c r="B96" s="99">
        <v>121</v>
      </c>
      <c r="C96" s="99" t="s">
        <v>427</v>
      </c>
      <c r="D96" s="140" t="s">
        <v>428</v>
      </c>
      <c r="E96" s="101" t="s">
        <v>429</v>
      </c>
      <c r="F96" s="121">
        <v>6871</v>
      </c>
      <c r="G96" s="91" t="s">
        <v>210</v>
      </c>
      <c r="H96" s="91" t="s">
        <v>100</v>
      </c>
      <c r="I96" s="59"/>
      <c r="J96" s="31"/>
      <c r="K96" s="31"/>
    </row>
    <row r="97" spans="1:11" s="42" customFormat="1" ht="15" customHeight="1" x14ac:dyDescent="0.2">
      <c r="A97" s="53"/>
      <c r="B97" s="99">
        <v>122</v>
      </c>
      <c r="C97" s="99" t="s">
        <v>430</v>
      </c>
      <c r="D97" s="140" t="s">
        <v>431</v>
      </c>
      <c r="E97" s="101" t="s">
        <v>429</v>
      </c>
      <c r="F97" s="121">
        <v>13150</v>
      </c>
      <c r="G97" s="91" t="s">
        <v>174</v>
      </c>
      <c r="H97" s="91" t="s">
        <v>100</v>
      </c>
      <c r="I97" s="59"/>
      <c r="J97" s="31"/>
      <c r="K97" s="31"/>
    </row>
    <row r="98" spans="1:11" s="42" customFormat="1" ht="15" customHeight="1" x14ac:dyDescent="0.2">
      <c r="A98" s="53"/>
      <c r="B98" s="99">
        <v>123</v>
      </c>
      <c r="C98" s="99" t="s">
        <v>432</v>
      </c>
      <c r="D98" s="140" t="s">
        <v>433</v>
      </c>
      <c r="E98" s="101" t="s">
        <v>429</v>
      </c>
      <c r="F98" s="121">
        <v>11747</v>
      </c>
      <c r="G98" s="91" t="s">
        <v>174</v>
      </c>
      <c r="H98" s="91" t="s">
        <v>100</v>
      </c>
      <c r="I98" s="59"/>
      <c r="J98" s="31"/>
      <c r="K98" s="31"/>
    </row>
    <row r="99" spans="1:11" s="42" customFormat="1" ht="15" customHeight="1" x14ac:dyDescent="0.2">
      <c r="A99" s="53"/>
      <c r="B99" s="99">
        <v>124</v>
      </c>
      <c r="C99" s="99" t="s">
        <v>434</v>
      </c>
      <c r="D99" s="140" t="s">
        <v>435</v>
      </c>
      <c r="E99" s="101" t="s">
        <v>429</v>
      </c>
      <c r="F99" s="121">
        <v>8743</v>
      </c>
      <c r="G99" s="91" t="s">
        <v>174</v>
      </c>
      <c r="H99" s="91" t="s">
        <v>100</v>
      </c>
      <c r="I99" s="59"/>
      <c r="J99" s="31"/>
      <c r="K99" s="31"/>
    </row>
    <row r="100" spans="1:11" s="42" customFormat="1" ht="15" customHeight="1" x14ac:dyDescent="0.2">
      <c r="A100" s="53"/>
      <c r="B100" s="99">
        <v>125</v>
      </c>
      <c r="C100" s="99" t="s">
        <v>436</v>
      </c>
      <c r="D100" s="140" t="s">
        <v>437</v>
      </c>
      <c r="E100" s="101" t="s">
        <v>438</v>
      </c>
      <c r="F100" s="121">
        <v>13274</v>
      </c>
      <c r="G100" s="91" t="s">
        <v>174</v>
      </c>
      <c r="H100" s="91" t="s">
        <v>100</v>
      </c>
      <c r="I100" s="59"/>
      <c r="J100" s="31"/>
      <c r="K100" s="31"/>
    </row>
    <row r="101" spans="1:11" s="42" customFormat="1" ht="15" customHeight="1" x14ac:dyDescent="0.2">
      <c r="A101" s="53"/>
      <c r="B101" s="99">
        <v>131</v>
      </c>
      <c r="C101" s="99" t="s">
        <v>357</v>
      </c>
      <c r="D101" s="140" t="s">
        <v>358</v>
      </c>
      <c r="E101" s="101" t="s">
        <v>359</v>
      </c>
      <c r="F101" s="121">
        <v>100020</v>
      </c>
      <c r="G101" s="91" t="s">
        <v>169</v>
      </c>
      <c r="H101" s="91" t="s">
        <v>360</v>
      </c>
      <c r="I101" s="59"/>
      <c r="J101" s="31"/>
      <c r="K101" s="31"/>
    </row>
    <row r="102" spans="1:11" s="42" customFormat="1" ht="15" customHeight="1" x14ac:dyDescent="0.2">
      <c r="A102" s="53"/>
      <c r="B102" s="99">
        <v>132</v>
      </c>
      <c r="C102" s="99" t="s">
        <v>361</v>
      </c>
      <c r="D102" s="140" t="s">
        <v>362</v>
      </c>
      <c r="E102" s="101" t="s">
        <v>363</v>
      </c>
      <c r="F102" s="121">
        <v>100480</v>
      </c>
      <c r="G102" s="91" t="s">
        <v>169</v>
      </c>
      <c r="H102" s="91" t="s">
        <v>360</v>
      </c>
      <c r="I102" s="59"/>
      <c r="J102" s="31"/>
      <c r="K102" s="31"/>
    </row>
    <row r="103" spans="1:11" s="42" customFormat="1" ht="15" customHeight="1" x14ac:dyDescent="0.2">
      <c r="A103" s="53"/>
      <c r="B103" s="99">
        <v>133</v>
      </c>
      <c r="C103" s="99" t="s">
        <v>364</v>
      </c>
      <c r="D103" s="140" t="s">
        <v>365</v>
      </c>
      <c r="E103" s="101" t="s">
        <v>366</v>
      </c>
      <c r="F103" s="121">
        <v>8509</v>
      </c>
      <c r="G103" s="91" t="s">
        <v>169</v>
      </c>
      <c r="H103" s="91" t="s">
        <v>360</v>
      </c>
      <c r="I103" s="59"/>
      <c r="J103" s="31"/>
      <c r="K103" s="31"/>
    </row>
    <row r="104" spans="1:11" s="42" customFormat="1" ht="15" customHeight="1" x14ac:dyDescent="0.2">
      <c r="A104" s="53"/>
      <c r="B104" s="99">
        <v>134</v>
      </c>
      <c r="C104" s="99" t="s">
        <v>367</v>
      </c>
      <c r="D104" s="140" t="s">
        <v>368</v>
      </c>
      <c r="E104" s="101" t="s">
        <v>366</v>
      </c>
      <c r="F104" s="121">
        <v>100090</v>
      </c>
      <c r="G104" s="91" t="s">
        <v>169</v>
      </c>
      <c r="H104" s="91" t="s">
        <v>360</v>
      </c>
      <c r="I104" s="59"/>
      <c r="J104" s="31"/>
      <c r="K104" s="31"/>
    </row>
    <row r="105" spans="1:11" s="42" customFormat="1" ht="15" customHeight="1" x14ac:dyDescent="0.2">
      <c r="A105" s="53"/>
      <c r="B105" s="99">
        <v>135</v>
      </c>
      <c r="C105" s="99" t="s">
        <v>369</v>
      </c>
      <c r="D105" s="140" t="s">
        <v>370</v>
      </c>
      <c r="E105" s="101" t="s">
        <v>366</v>
      </c>
      <c r="F105" s="121">
        <v>100756</v>
      </c>
      <c r="G105" s="91" t="s">
        <v>174</v>
      </c>
      <c r="H105" s="91" t="s">
        <v>360</v>
      </c>
      <c r="I105" s="59"/>
      <c r="J105" s="31"/>
      <c r="K105" s="31"/>
    </row>
    <row r="106" spans="1:11" s="42" customFormat="1" ht="15" customHeight="1" x14ac:dyDescent="0.2">
      <c r="A106" s="53"/>
      <c r="B106" s="99">
        <v>136</v>
      </c>
      <c r="C106" s="99" t="s">
        <v>371</v>
      </c>
      <c r="D106" s="140" t="s">
        <v>372</v>
      </c>
      <c r="E106" s="101" t="s">
        <v>366</v>
      </c>
      <c r="F106" s="121">
        <v>100089</v>
      </c>
      <c r="G106" s="91" t="s">
        <v>174</v>
      </c>
      <c r="H106" s="91" t="s">
        <v>360</v>
      </c>
      <c r="I106" s="59"/>
      <c r="J106" s="31"/>
      <c r="K106" s="31"/>
    </row>
    <row r="107" spans="1:11" s="42" customFormat="1" ht="15" customHeight="1" x14ac:dyDescent="0.2">
      <c r="A107" s="53"/>
      <c r="B107" s="99">
        <v>137</v>
      </c>
      <c r="C107" s="99" t="s">
        <v>373</v>
      </c>
      <c r="D107" s="140" t="s">
        <v>374</v>
      </c>
      <c r="E107" s="101" t="s">
        <v>375</v>
      </c>
      <c r="F107" s="121">
        <v>100289</v>
      </c>
      <c r="G107" s="91" t="s">
        <v>169</v>
      </c>
      <c r="H107" s="91" t="s">
        <v>360</v>
      </c>
      <c r="I107" s="59"/>
      <c r="J107" s="31"/>
      <c r="K107" s="31"/>
    </row>
    <row r="108" spans="1:11" s="42" customFormat="1" ht="15" customHeight="1" x14ac:dyDescent="0.2">
      <c r="A108" s="53"/>
      <c r="B108" s="99">
        <v>138</v>
      </c>
      <c r="C108" s="99" t="s">
        <v>251</v>
      </c>
      <c r="D108" s="140" t="s">
        <v>376</v>
      </c>
      <c r="E108" s="101" t="s">
        <v>377</v>
      </c>
      <c r="F108" s="121">
        <v>9819</v>
      </c>
      <c r="G108" s="91" t="s">
        <v>169</v>
      </c>
      <c r="H108" s="91" t="s">
        <v>360</v>
      </c>
      <c r="I108" s="59"/>
      <c r="J108" s="31"/>
      <c r="K108" s="31"/>
    </row>
    <row r="109" spans="1:11" s="42" customFormat="1" ht="15" customHeight="1" x14ac:dyDescent="0.2">
      <c r="A109" s="53"/>
      <c r="B109" s="99">
        <v>141</v>
      </c>
      <c r="C109" s="99" t="s">
        <v>307</v>
      </c>
      <c r="D109" s="140" t="s">
        <v>308</v>
      </c>
      <c r="E109" s="101" t="s">
        <v>309</v>
      </c>
      <c r="F109" s="121">
        <v>7803</v>
      </c>
      <c r="G109" s="91" t="s">
        <v>169</v>
      </c>
      <c r="H109" s="91" t="s">
        <v>310</v>
      </c>
      <c r="I109" s="59"/>
      <c r="J109" s="31"/>
      <c r="K109" s="31"/>
    </row>
    <row r="110" spans="1:11" s="42" customFormat="1" ht="15" customHeight="1" x14ac:dyDescent="0.2">
      <c r="A110" s="53"/>
      <c r="B110" s="99">
        <v>142</v>
      </c>
      <c r="C110" s="99" t="s">
        <v>311</v>
      </c>
      <c r="D110" s="140" t="s">
        <v>312</v>
      </c>
      <c r="E110" s="101" t="s">
        <v>309</v>
      </c>
      <c r="F110" s="121">
        <v>10284</v>
      </c>
      <c r="G110" s="91" t="s">
        <v>174</v>
      </c>
      <c r="H110" s="91" t="s">
        <v>310</v>
      </c>
      <c r="I110" s="59"/>
      <c r="J110" s="31"/>
      <c r="K110" s="31"/>
    </row>
    <row r="111" spans="1:11" s="42" customFormat="1" ht="15" customHeight="1" x14ac:dyDescent="0.2">
      <c r="A111" s="53"/>
      <c r="B111" s="99">
        <v>143</v>
      </c>
      <c r="C111" s="99" t="s">
        <v>313</v>
      </c>
      <c r="D111" s="140" t="s">
        <v>314</v>
      </c>
      <c r="E111" s="101" t="s">
        <v>309</v>
      </c>
      <c r="F111" s="121">
        <v>12418</v>
      </c>
      <c r="G111" s="91" t="s">
        <v>169</v>
      </c>
      <c r="H111" s="91" t="s">
        <v>310</v>
      </c>
      <c r="I111" s="59"/>
      <c r="J111" s="31"/>
      <c r="K111" s="31"/>
    </row>
    <row r="112" spans="1:11" s="42" customFormat="1" ht="15" customHeight="1" x14ac:dyDescent="0.2">
      <c r="A112" s="53"/>
      <c r="B112" s="99">
        <v>144</v>
      </c>
      <c r="C112" s="99" t="s">
        <v>315</v>
      </c>
      <c r="D112" s="140" t="s">
        <v>316</v>
      </c>
      <c r="E112" s="101" t="s">
        <v>309</v>
      </c>
      <c r="F112" s="121">
        <v>19339</v>
      </c>
      <c r="G112" s="91" t="s">
        <v>169</v>
      </c>
      <c r="H112" s="91" t="s">
        <v>310</v>
      </c>
      <c r="I112" s="59"/>
      <c r="J112" s="31"/>
      <c r="K112" s="31"/>
    </row>
    <row r="113" spans="1:11" s="42" customFormat="1" ht="15" customHeight="1" x14ac:dyDescent="0.2">
      <c r="A113" s="53"/>
      <c r="B113" s="99">
        <v>145</v>
      </c>
      <c r="C113" s="99" t="s">
        <v>317</v>
      </c>
      <c r="D113" s="140" t="s">
        <v>318</v>
      </c>
      <c r="E113" s="101" t="s">
        <v>309</v>
      </c>
      <c r="F113" s="121">
        <v>19338</v>
      </c>
      <c r="G113" s="91" t="s">
        <v>169</v>
      </c>
      <c r="H113" s="91" t="s">
        <v>310</v>
      </c>
      <c r="I113" s="59"/>
      <c r="J113" s="31"/>
      <c r="K113" s="31"/>
    </row>
    <row r="114" spans="1:11" s="42" customFormat="1" ht="15" customHeight="1" x14ac:dyDescent="0.2">
      <c r="A114" s="53"/>
      <c r="B114" s="99">
        <v>146</v>
      </c>
      <c r="C114" s="99" t="s">
        <v>319</v>
      </c>
      <c r="D114" s="140" t="s">
        <v>320</v>
      </c>
      <c r="E114" s="101" t="s">
        <v>309</v>
      </c>
      <c r="F114" s="121">
        <v>19627</v>
      </c>
      <c r="G114" s="91" t="s">
        <v>210</v>
      </c>
      <c r="H114" s="91" t="s">
        <v>310</v>
      </c>
      <c r="I114" s="59"/>
      <c r="J114" s="31"/>
      <c r="K114" s="31"/>
    </row>
    <row r="115" spans="1:11" s="42" customFormat="1" ht="15" customHeight="1" x14ac:dyDescent="0.2">
      <c r="A115" s="53"/>
      <c r="B115" s="99">
        <v>147</v>
      </c>
      <c r="C115" s="99" t="s">
        <v>321</v>
      </c>
      <c r="D115" s="140" t="s">
        <v>322</v>
      </c>
      <c r="E115" s="101" t="s">
        <v>309</v>
      </c>
      <c r="F115" s="121">
        <v>12841</v>
      </c>
      <c r="G115" s="91" t="s">
        <v>169</v>
      </c>
      <c r="H115" s="91" t="s">
        <v>310</v>
      </c>
      <c r="I115" s="59"/>
      <c r="J115" s="31"/>
      <c r="K115" s="31"/>
    </row>
    <row r="116" spans="1:11" s="42" customFormat="1" ht="15" customHeight="1" x14ac:dyDescent="0.2">
      <c r="A116" s="53"/>
      <c r="B116" s="99">
        <v>148</v>
      </c>
      <c r="C116" s="99" t="s">
        <v>323</v>
      </c>
      <c r="D116" s="140" t="s">
        <v>324</v>
      </c>
      <c r="E116" s="101" t="s">
        <v>309</v>
      </c>
      <c r="F116" s="121">
        <v>19342</v>
      </c>
      <c r="G116" s="91" t="s">
        <v>169</v>
      </c>
      <c r="H116" s="91" t="s">
        <v>310</v>
      </c>
      <c r="I116" s="59"/>
      <c r="J116" s="31"/>
      <c r="K116" s="31"/>
    </row>
    <row r="117" spans="1:11" s="42" customFormat="1" ht="15" customHeight="1" x14ac:dyDescent="0.2">
      <c r="A117" s="53"/>
      <c r="B117" s="99">
        <v>149</v>
      </c>
      <c r="C117" s="99" t="s">
        <v>325</v>
      </c>
      <c r="D117" s="140" t="s">
        <v>326</v>
      </c>
      <c r="E117" s="101" t="s">
        <v>309</v>
      </c>
      <c r="F117" s="121">
        <v>14090</v>
      </c>
      <c r="G117" s="91" t="s">
        <v>210</v>
      </c>
      <c r="H117" s="91" t="s">
        <v>310</v>
      </c>
      <c r="I117" s="59"/>
      <c r="J117" s="31"/>
      <c r="K117" s="31"/>
    </row>
    <row r="118" spans="1:11" s="42" customFormat="1" ht="15" customHeight="1" x14ac:dyDescent="0.2">
      <c r="A118" s="53"/>
      <c r="B118" s="99">
        <v>150</v>
      </c>
      <c r="C118" s="99" t="s">
        <v>327</v>
      </c>
      <c r="D118" s="140" t="s">
        <v>328</v>
      </c>
      <c r="E118" s="101" t="s">
        <v>309</v>
      </c>
      <c r="F118" s="121">
        <v>8547</v>
      </c>
      <c r="G118" s="91" t="s">
        <v>174</v>
      </c>
      <c r="H118" s="91" t="s">
        <v>310</v>
      </c>
      <c r="I118" s="59"/>
      <c r="J118" s="31"/>
      <c r="K118" s="31"/>
    </row>
    <row r="119" spans="1:11" s="42" customFormat="1" ht="15" customHeight="1" x14ac:dyDescent="0.2">
      <c r="A119" s="53"/>
      <c r="B119" s="99">
        <v>151</v>
      </c>
      <c r="C119" s="99" t="s">
        <v>439</v>
      </c>
      <c r="D119" s="140" t="s">
        <v>440</v>
      </c>
      <c r="E119" s="101" t="s">
        <v>441</v>
      </c>
      <c r="F119" s="121">
        <v>9096</v>
      </c>
      <c r="G119" s="91" t="s">
        <v>169</v>
      </c>
      <c r="H119" s="91" t="s">
        <v>100</v>
      </c>
      <c r="I119" s="59"/>
      <c r="J119" s="31"/>
      <c r="K119" s="31"/>
    </row>
    <row r="120" spans="1:11" s="42" customFormat="1" ht="15" customHeight="1" x14ac:dyDescent="0.2">
      <c r="A120" s="53"/>
      <c r="B120" s="99">
        <v>152</v>
      </c>
      <c r="C120" s="99" t="s">
        <v>442</v>
      </c>
      <c r="D120" s="140" t="s">
        <v>443</v>
      </c>
      <c r="E120" s="101" t="s">
        <v>444</v>
      </c>
      <c r="F120" s="121">
        <v>13287</v>
      </c>
      <c r="G120" s="91" t="s">
        <v>174</v>
      </c>
      <c r="H120" s="91" t="s">
        <v>100</v>
      </c>
      <c r="I120" s="59"/>
      <c r="J120" s="31"/>
      <c r="K120" s="31"/>
    </row>
    <row r="121" spans="1:11" s="42" customFormat="1" ht="15" customHeight="1" x14ac:dyDescent="0.2">
      <c r="A121" s="53"/>
      <c r="B121" s="99">
        <v>153</v>
      </c>
      <c r="C121" s="99" t="s">
        <v>445</v>
      </c>
      <c r="D121" s="140" t="s">
        <v>446</v>
      </c>
      <c r="E121" s="101" t="s">
        <v>441</v>
      </c>
      <c r="F121" s="121">
        <v>20125</v>
      </c>
      <c r="G121" s="91" t="s">
        <v>169</v>
      </c>
      <c r="H121" s="91" t="s">
        <v>100</v>
      </c>
      <c r="I121" s="59"/>
      <c r="J121" s="31"/>
      <c r="K121" s="31"/>
    </row>
    <row r="122" spans="1:11" s="42" customFormat="1" ht="15" customHeight="1" x14ac:dyDescent="0.2">
      <c r="A122" s="53"/>
      <c r="B122" s="99">
        <v>154</v>
      </c>
      <c r="C122" s="99" t="s">
        <v>447</v>
      </c>
      <c r="D122" s="140" t="s">
        <v>448</v>
      </c>
      <c r="E122" s="101" t="s">
        <v>441</v>
      </c>
      <c r="F122" s="121">
        <v>20126</v>
      </c>
      <c r="G122" s="91" t="s">
        <v>174</v>
      </c>
      <c r="H122" s="91" t="s">
        <v>100</v>
      </c>
      <c r="I122" s="59"/>
      <c r="J122" s="31"/>
      <c r="K122" s="31"/>
    </row>
    <row r="123" spans="1:11" s="42" customFormat="1" ht="15" customHeight="1" x14ac:dyDescent="0.2">
      <c r="A123" s="53"/>
      <c r="B123" s="99">
        <v>161</v>
      </c>
      <c r="C123" s="99" t="s">
        <v>388</v>
      </c>
      <c r="D123" s="140" t="s">
        <v>389</v>
      </c>
      <c r="E123" s="101" t="s">
        <v>390</v>
      </c>
      <c r="F123" s="121" t="s">
        <v>530</v>
      </c>
      <c r="G123" s="91" t="s">
        <v>174</v>
      </c>
      <c r="H123" s="91" t="s">
        <v>99</v>
      </c>
      <c r="I123" s="59"/>
      <c r="J123" s="31"/>
      <c r="K123" s="31"/>
    </row>
    <row r="124" spans="1:11" s="42" customFormat="1" ht="15" customHeight="1" x14ac:dyDescent="0.2">
      <c r="A124" s="53"/>
      <c r="B124" s="99">
        <v>162</v>
      </c>
      <c r="C124" s="99" t="s">
        <v>391</v>
      </c>
      <c r="D124" s="140" t="s">
        <v>392</v>
      </c>
      <c r="E124" s="101" t="s">
        <v>390</v>
      </c>
      <c r="F124" s="121" t="s">
        <v>527</v>
      </c>
      <c r="G124" s="91" t="s">
        <v>174</v>
      </c>
      <c r="H124" s="91" t="s">
        <v>99</v>
      </c>
      <c r="I124" s="59"/>
      <c r="J124" s="31"/>
      <c r="K124" s="31"/>
    </row>
    <row r="125" spans="1:11" s="42" customFormat="1" ht="15" customHeight="1" x14ac:dyDescent="0.2">
      <c r="A125" s="53"/>
      <c r="B125" s="99">
        <v>163</v>
      </c>
      <c r="C125" s="99" t="s">
        <v>393</v>
      </c>
      <c r="D125" s="140" t="s">
        <v>394</v>
      </c>
      <c r="E125" s="101" t="s">
        <v>390</v>
      </c>
      <c r="F125" s="121" t="s">
        <v>525</v>
      </c>
      <c r="G125" s="91" t="s">
        <v>174</v>
      </c>
      <c r="H125" s="91" t="s">
        <v>99</v>
      </c>
      <c r="I125" s="59"/>
      <c r="J125" s="31"/>
      <c r="K125" s="31"/>
    </row>
    <row r="126" spans="1:11" s="42" customFormat="1" ht="15" customHeight="1" x14ac:dyDescent="0.2">
      <c r="A126" s="53"/>
      <c r="B126" s="99">
        <v>164</v>
      </c>
      <c r="C126" s="99" t="s">
        <v>395</v>
      </c>
      <c r="D126" s="140" t="s">
        <v>396</v>
      </c>
      <c r="E126" s="101" t="s">
        <v>390</v>
      </c>
      <c r="F126" s="121" t="s">
        <v>529</v>
      </c>
      <c r="G126" s="91" t="s">
        <v>174</v>
      </c>
      <c r="H126" s="91" t="s">
        <v>99</v>
      </c>
      <c r="I126" s="59"/>
      <c r="J126" s="31"/>
      <c r="K126" s="31"/>
    </row>
    <row r="127" spans="1:11" s="42" customFormat="1" ht="15" customHeight="1" x14ac:dyDescent="0.2">
      <c r="A127" s="53"/>
      <c r="B127" s="99">
        <v>165</v>
      </c>
      <c r="C127" s="99" t="s">
        <v>397</v>
      </c>
      <c r="D127" s="140" t="s">
        <v>398</v>
      </c>
      <c r="E127" s="101" t="s">
        <v>390</v>
      </c>
      <c r="F127" s="121" t="s">
        <v>526</v>
      </c>
      <c r="G127" s="91" t="s">
        <v>169</v>
      </c>
      <c r="H127" s="91" t="s">
        <v>99</v>
      </c>
      <c r="I127" s="59"/>
      <c r="J127" s="31"/>
      <c r="K127" s="31"/>
    </row>
    <row r="128" spans="1:11" s="42" customFormat="1" ht="15" customHeight="1" x14ac:dyDescent="0.2">
      <c r="A128" s="53"/>
      <c r="B128" s="99">
        <v>166</v>
      </c>
      <c r="C128" s="99" t="s">
        <v>399</v>
      </c>
      <c r="D128" s="140" t="s">
        <v>400</v>
      </c>
      <c r="E128" s="101" t="s">
        <v>390</v>
      </c>
      <c r="F128" s="121" t="s">
        <v>528</v>
      </c>
      <c r="G128" s="91" t="s">
        <v>169</v>
      </c>
      <c r="H128" s="91" t="s">
        <v>99</v>
      </c>
      <c r="I128" s="59"/>
      <c r="J128" s="31"/>
      <c r="K128" s="31"/>
    </row>
    <row r="129" spans="1:17" s="42" customFormat="1" ht="15" customHeight="1" x14ac:dyDescent="0.2">
      <c r="A129" s="53"/>
      <c r="B129" s="99">
        <v>171</v>
      </c>
      <c r="C129" s="99" t="s">
        <v>462</v>
      </c>
      <c r="D129" s="140" t="s">
        <v>463</v>
      </c>
      <c r="E129" s="101" t="s">
        <v>464</v>
      </c>
      <c r="F129" s="121">
        <v>6788</v>
      </c>
      <c r="G129" s="91" t="s">
        <v>174</v>
      </c>
      <c r="H129" s="91" t="s">
        <v>43</v>
      </c>
      <c r="I129" s="59"/>
      <c r="J129" s="31"/>
      <c r="K129" s="31"/>
    </row>
    <row r="130" spans="1:17" s="42" customFormat="1" ht="15" customHeight="1" x14ac:dyDescent="0.2">
      <c r="A130" s="53"/>
      <c r="B130" s="99">
        <v>172</v>
      </c>
      <c r="C130" s="99" t="s">
        <v>465</v>
      </c>
      <c r="D130" s="140" t="s">
        <v>466</v>
      </c>
      <c r="E130" s="101" t="s">
        <v>464</v>
      </c>
      <c r="F130" s="121">
        <v>5765</v>
      </c>
      <c r="G130" s="91" t="s">
        <v>174</v>
      </c>
      <c r="H130" s="91" t="s">
        <v>43</v>
      </c>
      <c r="I130" s="59"/>
      <c r="J130" s="31"/>
      <c r="K130" s="31"/>
    </row>
    <row r="131" spans="1:17" s="42" customFormat="1" ht="15" customHeight="1" x14ac:dyDescent="0.2">
      <c r="A131" s="53"/>
      <c r="B131" s="99">
        <v>173</v>
      </c>
      <c r="C131" s="99" t="s">
        <v>467</v>
      </c>
      <c r="D131" s="140" t="s">
        <v>468</v>
      </c>
      <c r="E131" s="101" t="s">
        <v>464</v>
      </c>
      <c r="F131" s="121">
        <v>6477</v>
      </c>
      <c r="G131" s="91" t="s">
        <v>174</v>
      </c>
      <c r="H131" s="91" t="s">
        <v>43</v>
      </c>
      <c r="I131" s="59"/>
      <c r="J131" s="31"/>
      <c r="K131" s="31"/>
    </row>
    <row r="132" spans="1:17" s="42" customFormat="1" ht="15" customHeight="1" x14ac:dyDescent="0.2">
      <c r="A132" s="53"/>
      <c r="B132" s="99">
        <v>174</v>
      </c>
      <c r="C132" s="99" t="s">
        <v>449</v>
      </c>
      <c r="D132" s="140" t="s">
        <v>469</v>
      </c>
      <c r="E132" s="101" t="s">
        <v>464</v>
      </c>
      <c r="F132" s="121">
        <v>4237</v>
      </c>
      <c r="G132" s="91" t="s">
        <v>174</v>
      </c>
      <c r="H132" s="91" t="s">
        <v>43</v>
      </c>
      <c r="I132" s="59"/>
      <c r="J132" s="31"/>
      <c r="K132" s="31"/>
    </row>
    <row r="133" spans="1:17" s="42" customFormat="1" ht="15" customHeight="1" x14ac:dyDescent="0.2">
      <c r="A133" s="53"/>
      <c r="B133" s="99">
        <v>175</v>
      </c>
      <c r="C133" s="99" t="s">
        <v>470</v>
      </c>
      <c r="D133" s="140" t="s">
        <v>471</v>
      </c>
      <c r="E133" s="101" t="s">
        <v>464</v>
      </c>
      <c r="F133" s="121">
        <v>5674</v>
      </c>
      <c r="G133" s="91" t="s">
        <v>169</v>
      </c>
      <c r="H133" s="91" t="s">
        <v>43</v>
      </c>
      <c r="I133" s="59"/>
      <c r="J133" s="31"/>
      <c r="K133" s="31"/>
    </row>
    <row r="134" spans="1:17" s="42" customFormat="1" ht="15" customHeight="1" x14ac:dyDescent="0.2">
      <c r="A134" s="53"/>
      <c r="B134" s="99">
        <v>176</v>
      </c>
      <c r="C134" s="99" t="s">
        <v>472</v>
      </c>
      <c r="D134" s="140" t="s">
        <v>473</v>
      </c>
      <c r="E134" s="101" t="s">
        <v>464</v>
      </c>
      <c r="F134" s="121">
        <v>5681</v>
      </c>
      <c r="G134" s="91" t="s">
        <v>169</v>
      </c>
      <c r="H134" s="91" t="s">
        <v>43</v>
      </c>
      <c r="I134" s="59"/>
      <c r="J134" s="31"/>
      <c r="K134" s="31"/>
    </row>
    <row r="135" spans="1:17" s="42" customFormat="1" ht="15" customHeight="1" x14ac:dyDescent="0.2">
      <c r="A135" s="53"/>
      <c r="B135" s="99">
        <v>181</v>
      </c>
      <c r="C135" s="99" t="s">
        <v>291</v>
      </c>
      <c r="D135" s="140" t="s">
        <v>292</v>
      </c>
      <c r="E135" s="101" t="s">
        <v>293</v>
      </c>
      <c r="F135" s="121">
        <v>100824</v>
      </c>
      <c r="G135" s="91" t="s">
        <v>169</v>
      </c>
      <c r="H135" s="91" t="s">
        <v>294</v>
      </c>
      <c r="I135" s="59"/>
      <c r="J135" s="31"/>
      <c r="K135" s="31"/>
    </row>
    <row r="136" spans="1:17" s="42" customFormat="1" ht="15" customHeight="1" x14ac:dyDescent="0.2">
      <c r="A136" s="53"/>
      <c r="B136" s="99">
        <v>182</v>
      </c>
      <c r="C136" s="99" t="s">
        <v>295</v>
      </c>
      <c r="D136" s="140" t="s">
        <v>296</v>
      </c>
      <c r="E136" s="101" t="s">
        <v>293</v>
      </c>
      <c r="F136" s="121">
        <v>100827</v>
      </c>
      <c r="G136" s="91" t="s">
        <v>169</v>
      </c>
      <c r="H136" s="91" t="s">
        <v>294</v>
      </c>
      <c r="I136" s="59"/>
      <c r="J136" s="31"/>
      <c r="K136" s="31"/>
    </row>
    <row r="137" spans="1:17" s="42" customFormat="1" ht="15" customHeight="1" x14ac:dyDescent="0.2">
      <c r="A137" s="53"/>
      <c r="B137" s="99">
        <v>183</v>
      </c>
      <c r="C137" s="99" t="s">
        <v>297</v>
      </c>
      <c r="D137" s="140" t="s">
        <v>298</v>
      </c>
      <c r="E137" s="101" t="s">
        <v>293</v>
      </c>
      <c r="F137" s="121">
        <v>100828</v>
      </c>
      <c r="G137" s="91" t="s">
        <v>169</v>
      </c>
      <c r="H137" s="91" t="s">
        <v>294</v>
      </c>
      <c r="I137" s="59"/>
      <c r="J137" s="31"/>
      <c r="K137" s="31"/>
    </row>
    <row r="138" spans="1:17" s="42" customFormat="1" ht="15" customHeight="1" x14ac:dyDescent="0.2">
      <c r="A138" s="53"/>
      <c r="B138" s="99">
        <v>184</v>
      </c>
      <c r="C138" s="99" t="s">
        <v>299</v>
      </c>
      <c r="D138" s="140" t="s">
        <v>300</v>
      </c>
      <c r="E138" s="101" t="s">
        <v>293</v>
      </c>
      <c r="F138" s="121">
        <v>100830</v>
      </c>
      <c r="G138" s="91" t="s">
        <v>169</v>
      </c>
      <c r="H138" s="91" t="s">
        <v>294</v>
      </c>
      <c r="I138" s="59"/>
      <c r="J138" s="31"/>
      <c r="K138" s="31"/>
    </row>
    <row r="139" spans="1:17" s="42" customFormat="1" ht="15" customHeight="1" x14ac:dyDescent="0.2">
      <c r="A139" s="53"/>
      <c r="B139" s="99">
        <v>185</v>
      </c>
      <c r="C139" s="99" t="s">
        <v>301</v>
      </c>
      <c r="D139" s="140" t="s">
        <v>302</v>
      </c>
      <c r="E139" s="101" t="s">
        <v>293</v>
      </c>
      <c r="F139" s="121">
        <v>100831</v>
      </c>
      <c r="G139" s="91" t="s">
        <v>169</v>
      </c>
      <c r="H139" s="91" t="s">
        <v>294</v>
      </c>
      <c r="I139" s="59"/>
      <c r="J139" s="31"/>
      <c r="K139" s="31"/>
    </row>
    <row r="140" spans="1:17" s="42" customFormat="1" ht="15" customHeight="1" x14ac:dyDescent="0.2">
      <c r="A140" s="53"/>
      <c r="B140" s="99">
        <v>186</v>
      </c>
      <c r="C140" s="99" t="s">
        <v>303</v>
      </c>
      <c r="D140" s="140" t="s">
        <v>304</v>
      </c>
      <c r="E140" s="101" t="s">
        <v>293</v>
      </c>
      <c r="F140" s="121">
        <v>100838</v>
      </c>
      <c r="G140" s="91" t="s">
        <v>174</v>
      </c>
      <c r="H140" s="91" t="s">
        <v>294</v>
      </c>
      <c r="I140" s="59"/>
      <c r="J140" s="31"/>
      <c r="K140" s="31"/>
    </row>
    <row r="141" spans="1:17" s="42" customFormat="1" ht="15" customHeight="1" x14ac:dyDescent="0.2">
      <c r="A141" s="53"/>
      <c r="B141" s="99">
        <v>187</v>
      </c>
      <c r="C141" s="99" t="s">
        <v>305</v>
      </c>
      <c r="D141" s="140" t="s">
        <v>306</v>
      </c>
      <c r="E141" s="101" t="s">
        <v>293</v>
      </c>
      <c r="F141" s="121">
        <v>100350</v>
      </c>
      <c r="G141" s="91" t="s">
        <v>174</v>
      </c>
      <c r="H141" s="91" t="s">
        <v>294</v>
      </c>
      <c r="I141" s="59"/>
      <c r="J141" s="31"/>
      <c r="K141" s="31"/>
      <c r="Q141"/>
    </row>
    <row r="142" spans="1:17" s="20" customFormat="1" ht="15" x14ac:dyDescent="0.2">
      <c r="A142" s="26"/>
      <c r="B142" s="52" t="str">
        <f>CTRL!B29</f>
        <v>počet závodíků / num. of riders: 130</v>
      </c>
      <c r="C142" s="52"/>
      <c r="D142" s="60"/>
      <c r="E142" s="54"/>
      <c r="F142" s="26"/>
      <c r="G142" s="26"/>
      <c r="H142" s="26"/>
      <c r="I142" s="26"/>
      <c r="J142" s="26"/>
      <c r="K142" s="26"/>
      <c r="L142" s="55"/>
      <c r="M142"/>
    </row>
    <row r="143" spans="1:17" s="5" customFormat="1" x14ac:dyDescent="0.2"/>
    <row r="144" spans="1:17" s="5" customFormat="1" x14ac:dyDescent="0.2"/>
    <row r="145" spans="1:11" ht="6" customHeight="1" x14ac:dyDescent="0.2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</row>
    <row r="146" spans="1:11" x14ac:dyDescent="0.2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</row>
    <row r="147" spans="1:11" x14ac:dyDescent="0.2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</row>
    <row r="148" spans="1:11" x14ac:dyDescent="0.2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</row>
    <row r="149" spans="1:11" x14ac:dyDescent="0.2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</row>
    <row r="150" spans="1:11" x14ac:dyDescent="0.2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</row>
    <row r="151" spans="1:11" x14ac:dyDescent="0.2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</row>
    <row r="152" spans="1:11" x14ac:dyDescent="0.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</row>
    <row r="153" spans="1:11" x14ac:dyDescent="0.2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</row>
    <row r="154" spans="1:11" x14ac:dyDescent="0.2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</row>
    <row r="155" spans="1:11" ht="6" customHeight="1" x14ac:dyDescent="0.2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</row>
    <row r="156" spans="1:11" ht="11.45" customHeight="1" x14ac:dyDescent="0.2">
      <c r="A156" s="255" t="s">
        <v>44</v>
      </c>
      <c r="B156" s="255"/>
      <c r="C156" s="255"/>
      <c r="D156" s="255"/>
      <c r="E156" s="255"/>
      <c r="F156" s="255"/>
      <c r="G156" s="255"/>
      <c r="H156" s="255"/>
      <c r="I156" s="255"/>
      <c r="J156" s="255"/>
      <c r="K156" s="255"/>
    </row>
  </sheetData>
  <sortState ref="B12:H141">
    <sortCondition ref="B12"/>
  </sortState>
  <mergeCells count="6">
    <mergeCell ref="A156:K156"/>
    <mergeCell ref="A1:K1"/>
    <mergeCell ref="A2:K2"/>
    <mergeCell ref="D3:H3"/>
    <mergeCell ref="A5:K5"/>
    <mergeCell ref="A10:K10"/>
  </mergeCells>
  <phoneticPr fontId="12" type="noConversion"/>
  <pageMargins left="0.5" right="0.23622047244094491" top="0.31496062992125984" bottom="0.42" header="0.23622047244094491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zoomScaleNormal="100" workbookViewId="0">
      <selection sqref="A1:K1"/>
    </sheetView>
  </sheetViews>
  <sheetFormatPr defaultColWidth="8.85546875" defaultRowHeight="12.75" outlineLevelRow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</cols>
  <sheetData>
    <row r="1" spans="1:11" s="20" customFormat="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s="20" customFormat="1" ht="18.75" x14ac:dyDescent="0.3">
      <c r="C3" s="1"/>
      <c r="D3" s="251" t="str">
        <f>CTRL!B18</f>
        <v>2. etapa / 2nd Stage</v>
      </c>
      <c r="E3" s="251"/>
      <c r="F3" s="251"/>
      <c r="G3" s="251"/>
      <c r="H3" s="251"/>
      <c r="I3" s="49"/>
      <c r="K3" s="2" t="str">
        <f>"Com.no.: 8/" &amp; CTRL!B27</f>
        <v>Com.no.: 8/31</v>
      </c>
    </row>
    <row r="4" spans="1:11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1" s="20" customFormat="1" ht="21" x14ac:dyDescent="0.2">
      <c r="A5" s="254" t="s">
        <v>558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1" s="20" customFormat="1" ht="9" customHeight="1" x14ac:dyDescent="0.2">
      <c r="C6" s="1"/>
    </row>
    <row r="7" spans="1:11" s="20" customFormat="1" x14ac:dyDescent="0.2">
      <c r="A7" s="209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65</v>
      </c>
      <c r="H7" s="209" t="s">
        <v>12</v>
      </c>
      <c r="I7" s="209" t="s">
        <v>556</v>
      </c>
      <c r="J7" s="209" t="s">
        <v>27</v>
      </c>
      <c r="K7" s="209"/>
    </row>
    <row r="8" spans="1:11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557</v>
      </c>
      <c r="J8" s="84" t="s">
        <v>57</v>
      </c>
      <c r="K8" s="84"/>
    </row>
    <row r="9" spans="1:11" s="20" customFormat="1" ht="8.25" customHeight="1" thickBot="1" x14ac:dyDescent="0.25">
      <c r="C9" s="1"/>
    </row>
    <row r="10" spans="1:11" s="20" customFormat="1" ht="14.2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</row>
    <row r="11" spans="1:11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</f>
        <v xml:space="preserve">Průměrná rychlost / Average Speed: </v>
      </c>
    </row>
    <row r="12" spans="1:11" s="69" customFormat="1" ht="13.7" customHeight="1" x14ac:dyDescent="0.2">
      <c r="A12" s="53">
        <v>1</v>
      </c>
      <c r="B12" s="99">
        <v>74</v>
      </c>
      <c r="C12" s="63" t="str">
        <f t="shared" ref="C12:C43" si="0">VLOOKUP(B12,STARTOVKA,2,0)</f>
        <v>SVK19980324</v>
      </c>
      <c r="D12" s="64" t="str">
        <f t="shared" ref="D12:D43" si="1">VLOOKUP(B12,STARTOVKA,3,0)</f>
        <v>KOVÁČ Milan</v>
      </c>
      <c r="E12" s="65" t="str">
        <f t="shared" ref="E12:E43" si="2">VLOOKUP(B12,STARTOVKA,4,0)</f>
        <v>SLÁVIA ŠG TRENČÍN</v>
      </c>
      <c r="F12" s="66">
        <f t="shared" ref="F12:F43" si="3">VLOOKUP(B12,STARTOVKA,5,0)</f>
        <v>5908</v>
      </c>
      <c r="G12" s="67" t="str">
        <f t="shared" ref="G12:G43" si="4">VLOOKUP(B12,STARTOVKA,6,0)</f>
        <v>CADET</v>
      </c>
      <c r="H12" s="67" t="str">
        <f t="shared" ref="H12:H43" si="5">VLOOKUP(B12,STARTOVKA,7,0)</f>
        <v>SLA</v>
      </c>
      <c r="I12" s="224">
        <v>0.375</v>
      </c>
      <c r="J12" s="31"/>
      <c r="K12" s="31"/>
    </row>
    <row r="13" spans="1:11" s="69" customFormat="1" ht="13.7" customHeight="1" x14ac:dyDescent="0.2">
      <c r="A13" s="53">
        <v>2</v>
      </c>
      <c r="B13" s="99">
        <v>103</v>
      </c>
      <c r="C13" s="63" t="str">
        <f t="shared" si="0"/>
        <v>CZE19970319</v>
      </c>
      <c r="D13" s="64" t="str">
        <f t="shared" si="1"/>
        <v xml:space="preserve">NEUMAN Daniel </v>
      </c>
      <c r="E13" s="65" t="str">
        <f t="shared" si="2"/>
        <v xml:space="preserve">TJ STADION LOUNY </v>
      </c>
      <c r="F13" s="66">
        <f t="shared" si="3"/>
        <v>9610</v>
      </c>
      <c r="G13" s="67" t="str">
        <f t="shared" si="4"/>
        <v>JUNIOR*</v>
      </c>
      <c r="H13" s="67" t="str">
        <f t="shared" si="5"/>
        <v>LOU</v>
      </c>
      <c r="I13" s="224">
        <v>0.3756944444444445</v>
      </c>
      <c r="J13" s="31"/>
      <c r="K13" s="31"/>
    </row>
    <row r="14" spans="1:11" s="69" customFormat="1" ht="13.7" customHeight="1" x14ac:dyDescent="0.2">
      <c r="A14" s="53">
        <v>3</v>
      </c>
      <c r="B14" s="99">
        <v>46</v>
      </c>
      <c r="C14" s="63" t="str">
        <f t="shared" si="0"/>
        <v>CZE19980811</v>
      </c>
      <c r="D14" s="64" t="str">
        <f t="shared" si="1"/>
        <v xml:space="preserve">NOVOTNÝ Jakub </v>
      </c>
      <c r="E14" s="65" t="str">
        <f t="shared" si="2"/>
        <v>KC KOOPERATIVA SG JABLONEC N.N</v>
      </c>
      <c r="F14" s="66">
        <f t="shared" si="3"/>
        <v>19278</v>
      </c>
      <c r="G14" s="67" t="str">
        <f t="shared" si="4"/>
        <v>CADET</v>
      </c>
      <c r="H14" s="67" t="str">
        <f t="shared" si="5"/>
        <v>KOO</v>
      </c>
      <c r="I14" s="224">
        <v>0.37638888888888899</v>
      </c>
      <c r="J14" s="31"/>
      <c r="K14" s="31"/>
    </row>
    <row r="15" spans="1:11" s="69" customFormat="1" ht="13.7" customHeight="1" x14ac:dyDescent="0.2">
      <c r="A15" s="53">
        <v>4</v>
      </c>
      <c r="B15" s="99">
        <v>72</v>
      </c>
      <c r="C15" s="63" t="str">
        <f t="shared" si="0"/>
        <v>SVK19960505</v>
      </c>
      <c r="D15" s="64" t="str">
        <f t="shared" si="1"/>
        <v>GANC Marek</v>
      </c>
      <c r="E15" s="65" t="str">
        <f t="shared" si="2"/>
        <v>SLÁVIA ŠG TRENČÍN</v>
      </c>
      <c r="F15" s="66">
        <f t="shared" si="3"/>
        <v>5847</v>
      </c>
      <c r="G15" s="67" t="str">
        <f t="shared" si="4"/>
        <v>JUNIOR</v>
      </c>
      <c r="H15" s="67" t="str">
        <f t="shared" si="5"/>
        <v>SLA</v>
      </c>
      <c r="I15" s="224">
        <v>0.37708333333333299</v>
      </c>
      <c r="J15" s="31"/>
      <c r="K15" s="31"/>
    </row>
    <row r="16" spans="1:11" s="69" customFormat="1" ht="13.7" customHeight="1" x14ac:dyDescent="0.2">
      <c r="A16" s="53">
        <v>5</v>
      </c>
      <c r="B16" s="99">
        <v>54</v>
      </c>
      <c r="C16" s="63" t="str">
        <f t="shared" si="0"/>
        <v>POL19960621</v>
      </c>
      <c r="D16" s="64" t="str">
        <f t="shared" si="1"/>
        <v>TROSZOK Robert</v>
      </c>
      <c r="E16" s="65" t="str">
        <f t="shared" si="2"/>
        <v>GRUPA KOLARSKA GLIWICE BA</v>
      </c>
      <c r="F16" s="66" t="str">
        <f t="shared" si="3"/>
        <v>SLA231</v>
      </c>
      <c r="G16" s="67" t="str">
        <f t="shared" si="4"/>
        <v>JUNIOR</v>
      </c>
      <c r="H16" s="67" t="str">
        <f t="shared" si="5"/>
        <v>GLI</v>
      </c>
      <c r="I16" s="224">
        <v>0.37777777777777799</v>
      </c>
      <c r="J16" s="31"/>
      <c r="K16" s="31"/>
    </row>
    <row r="17" spans="1:11" s="69" customFormat="1" ht="13.7" customHeight="1" x14ac:dyDescent="0.2">
      <c r="A17" s="53">
        <v>6</v>
      </c>
      <c r="B17" s="99">
        <v>135</v>
      </c>
      <c r="C17" s="63" t="str">
        <f t="shared" si="0"/>
        <v>AUT19970502</v>
      </c>
      <c r="D17" s="64" t="str">
        <f t="shared" si="1"/>
        <v>RECKENDORFER Lukas</v>
      </c>
      <c r="E17" s="65" t="str">
        <f t="shared" si="2"/>
        <v>RC ARBÖ WELS GOURMETFEIN</v>
      </c>
      <c r="F17" s="66">
        <f t="shared" si="3"/>
        <v>100756</v>
      </c>
      <c r="G17" s="67" t="str">
        <f t="shared" si="4"/>
        <v>JUNIOR*</v>
      </c>
      <c r="H17" s="67" t="str">
        <f t="shared" si="5"/>
        <v>RCA</v>
      </c>
      <c r="I17" s="224">
        <v>0.37847222222222199</v>
      </c>
      <c r="J17" s="31"/>
      <c r="K17" s="31"/>
    </row>
    <row r="18" spans="1:11" s="69" customFormat="1" ht="13.7" customHeight="1" x14ac:dyDescent="0.2">
      <c r="A18" s="53">
        <v>7</v>
      </c>
      <c r="B18" s="99">
        <v>186</v>
      </c>
      <c r="C18" s="63" t="str">
        <f t="shared" si="0"/>
        <v>AUT19970406</v>
      </c>
      <c r="D18" s="64" t="str">
        <f t="shared" si="1"/>
        <v>WINTER Stefan</v>
      </c>
      <c r="E18" s="65" t="str">
        <f t="shared" si="2"/>
        <v xml:space="preserve">LRV STEIERMARK </v>
      </c>
      <c r="F18" s="66">
        <f t="shared" si="3"/>
        <v>100838</v>
      </c>
      <c r="G18" s="67" t="str">
        <f t="shared" si="4"/>
        <v>JUNIOR*</v>
      </c>
      <c r="H18" s="67" t="str">
        <f t="shared" si="5"/>
        <v>LRV</v>
      </c>
      <c r="I18" s="224">
        <v>0.37916666666666698</v>
      </c>
      <c r="J18" s="31"/>
      <c r="K18" s="31"/>
    </row>
    <row r="19" spans="1:11" s="69" customFormat="1" ht="13.7" customHeight="1" x14ac:dyDescent="0.2">
      <c r="A19" s="53">
        <v>8</v>
      </c>
      <c r="B19" s="99">
        <v>47</v>
      </c>
      <c r="C19" s="63" t="str">
        <f t="shared" si="0"/>
        <v>CZE19960509</v>
      </c>
      <c r="D19" s="64" t="str">
        <f t="shared" si="1"/>
        <v xml:space="preserve">PRENĚK Ondřej </v>
      </c>
      <c r="E19" s="65" t="str">
        <f t="shared" si="2"/>
        <v>KC KOOPERATIVA SG JABLONEC N.N</v>
      </c>
      <c r="F19" s="66">
        <f t="shared" si="3"/>
        <v>19279</v>
      </c>
      <c r="G19" s="67" t="str">
        <f t="shared" si="4"/>
        <v>JUNIOR</v>
      </c>
      <c r="H19" s="67" t="str">
        <f t="shared" si="5"/>
        <v>KOO</v>
      </c>
      <c r="I19" s="224">
        <v>0.37986111111111098</v>
      </c>
      <c r="J19" s="31"/>
      <c r="K19" s="31"/>
    </row>
    <row r="20" spans="1:11" s="69" customFormat="1" ht="13.7" customHeight="1" x14ac:dyDescent="0.2">
      <c r="A20" s="53">
        <v>9</v>
      </c>
      <c r="B20" s="99">
        <v>122</v>
      </c>
      <c r="C20" s="63" t="str">
        <f t="shared" si="0"/>
        <v>CZE19971201</v>
      </c>
      <c r="D20" s="64" t="str">
        <f t="shared" si="1"/>
        <v xml:space="preserve">CHYTIL Daniel </v>
      </c>
      <c r="E20" s="65" t="str">
        <f t="shared" si="2"/>
        <v xml:space="preserve">SKC TUFO PROSTĚJOV </v>
      </c>
      <c r="F20" s="66">
        <f t="shared" si="3"/>
        <v>13150</v>
      </c>
      <c r="G20" s="67" t="str">
        <f t="shared" si="4"/>
        <v>JUNIOR*</v>
      </c>
      <c r="H20" s="67" t="str">
        <f t="shared" si="5"/>
        <v>SKC</v>
      </c>
      <c r="I20" s="224">
        <v>0.38055555555555598</v>
      </c>
      <c r="J20" s="31"/>
      <c r="K20" s="31"/>
    </row>
    <row r="21" spans="1:11" s="69" customFormat="1" ht="13.7" customHeight="1" x14ac:dyDescent="0.2">
      <c r="A21" s="53">
        <v>10</v>
      </c>
      <c r="B21" s="99">
        <v>9</v>
      </c>
      <c r="C21" s="63" t="str">
        <f t="shared" si="0"/>
        <v>GER19980730</v>
      </c>
      <c r="D21" s="64" t="str">
        <f t="shared" si="1"/>
        <v>PLUNTKE Moritz</v>
      </c>
      <c r="E21" s="65" t="str">
        <f t="shared" si="2"/>
        <v>RSC TURBINE ERFURT</v>
      </c>
      <c r="F21" s="66" t="str">
        <f t="shared" si="3"/>
        <v>THÜ173593</v>
      </c>
      <c r="G21" s="67" t="str">
        <f t="shared" si="4"/>
        <v>CADET</v>
      </c>
      <c r="H21" s="67" t="str">
        <f t="shared" si="5"/>
        <v>TUR</v>
      </c>
      <c r="I21" s="224">
        <v>0.38124999999999998</v>
      </c>
      <c r="J21" s="31"/>
      <c r="K21" s="31"/>
    </row>
    <row r="22" spans="1:11" s="69" customFormat="1" ht="13.7" customHeight="1" x14ac:dyDescent="0.2">
      <c r="A22" s="53">
        <v>11</v>
      </c>
      <c r="B22" s="99">
        <v>153</v>
      </c>
      <c r="C22" s="63" t="str">
        <f t="shared" si="0"/>
        <v>CZE19960707</v>
      </c>
      <c r="D22" s="64" t="str">
        <f t="shared" si="1"/>
        <v>SAXA Lukáš</v>
      </c>
      <c r="E22" s="65" t="str">
        <f t="shared" si="2"/>
        <v>STEVENS ZNOJMO</v>
      </c>
      <c r="F22" s="66">
        <f t="shared" si="3"/>
        <v>20125</v>
      </c>
      <c r="G22" s="67" t="str">
        <f t="shared" si="4"/>
        <v>JUNIOR</v>
      </c>
      <c r="H22" s="67" t="str">
        <f t="shared" si="5"/>
        <v>SKC</v>
      </c>
      <c r="I22" s="224">
        <v>0.38194444444444497</v>
      </c>
      <c r="J22" s="31"/>
      <c r="K22" s="31"/>
    </row>
    <row r="23" spans="1:11" s="69" customFormat="1" ht="13.7" customHeight="1" x14ac:dyDescent="0.2">
      <c r="A23" s="53">
        <v>12</v>
      </c>
      <c r="B23" s="99">
        <v>71</v>
      </c>
      <c r="C23" s="63" t="str">
        <f t="shared" si="0"/>
        <v>SVK19970730</v>
      </c>
      <c r="D23" s="64" t="str">
        <f t="shared" si="1"/>
        <v>MEŇUŠ Tomáš</v>
      </c>
      <c r="E23" s="65" t="str">
        <f t="shared" si="2"/>
        <v>CYCLING ACADEMY BRATISLAVA</v>
      </c>
      <c r="F23" s="66">
        <f t="shared" si="3"/>
        <v>6668</v>
      </c>
      <c r="G23" s="67" t="str">
        <f t="shared" si="4"/>
        <v>JUNIOR*</v>
      </c>
      <c r="H23" s="67" t="str">
        <f t="shared" si="5"/>
        <v>SLA</v>
      </c>
      <c r="I23" s="224">
        <v>0.38263888888888897</v>
      </c>
      <c r="J23" s="31"/>
      <c r="K23" s="31"/>
    </row>
    <row r="24" spans="1:11" s="69" customFormat="1" ht="13.7" customHeight="1" x14ac:dyDescent="0.2">
      <c r="A24" s="53">
        <v>13</v>
      </c>
      <c r="B24" s="99">
        <v>43</v>
      </c>
      <c r="C24" s="63" t="str">
        <f t="shared" si="0"/>
        <v>CZE19990209</v>
      </c>
      <c r="D24" s="64" t="str">
        <f t="shared" si="1"/>
        <v xml:space="preserve">HONZÁK David </v>
      </c>
      <c r="E24" s="65" t="str">
        <f t="shared" si="2"/>
        <v>KC KOOPERATIVA SG JABLONEC N.N</v>
      </c>
      <c r="F24" s="66">
        <f t="shared" si="3"/>
        <v>14334</v>
      </c>
      <c r="G24" s="67" t="str">
        <f t="shared" si="4"/>
        <v>CADET*</v>
      </c>
      <c r="H24" s="67" t="str">
        <f t="shared" si="5"/>
        <v>KOO</v>
      </c>
      <c r="I24" s="224">
        <v>0.38333333333333403</v>
      </c>
      <c r="J24" s="31"/>
      <c r="K24" s="31"/>
    </row>
    <row r="25" spans="1:11" s="69" customFormat="1" ht="13.7" customHeight="1" x14ac:dyDescent="0.2">
      <c r="A25" s="53">
        <v>14</v>
      </c>
      <c r="B25" s="99">
        <v>16</v>
      </c>
      <c r="C25" s="63" t="str">
        <f t="shared" si="0"/>
        <v>GER19981217</v>
      </c>
      <c r="D25" s="64" t="str">
        <f t="shared" si="1"/>
        <v>ZÖTTLER Jacob</v>
      </c>
      <c r="E25" s="65" t="str">
        <f t="shared" si="2"/>
        <v>JUNIOREN SCHWALBE TEAM SACHSEN</v>
      </c>
      <c r="F25" s="66" t="str">
        <f t="shared" si="3"/>
        <v>SAC 135443</v>
      </c>
      <c r="G25" s="67" t="str">
        <f t="shared" si="4"/>
        <v>CADET</v>
      </c>
      <c r="H25" s="67" t="str">
        <f t="shared" si="5"/>
        <v>SCW</v>
      </c>
      <c r="I25" s="224">
        <v>0.38402777777777802</v>
      </c>
      <c r="J25" s="31"/>
      <c r="K25" s="31"/>
    </row>
    <row r="26" spans="1:11" s="69" customFormat="1" ht="13.7" customHeight="1" x14ac:dyDescent="0.2">
      <c r="A26" s="53">
        <v>15</v>
      </c>
      <c r="B26" s="99">
        <v>15</v>
      </c>
      <c r="C26" s="63" t="str">
        <f t="shared" si="0"/>
        <v>GER19980114</v>
      </c>
      <c r="D26" s="64" t="str">
        <f t="shared" si="1"/>
        <v>BONNES Julius</v>
      </c>
      <c r="E26" s="65" t="str">
        <f t="shared" si="2"/>
        <v>JUNIOREN SCHWALBE TEAM SACHSEN</v>
      </c>
      <c r="F26" s="66" t="str">
        <f t="shared" si="3"/>
        <v>SAC 142150</v>
      </c>
      <c r="G26" s="67" t="str">
        <f t="shared" si="4"/>
        <v>CADET</v>
      </c>
      <c r="H26" s="67" t="str">
        <f t="shared" si="5"/>
        <v>SCW</v>
      </c>
      <c r="I26" s="224">
        <v>0.38472222222222302</v>
      </c>
      <c r="J26" s="31"/>
      <c r="K26" s="31"/>
    </row>
    <row r="27" spans="1:11" s="69" customFormat="1" ht="13.7" customHeight="1" x14ac:dyDescent="0.2">
      <c r="A27" s="53">
        <v>16</v>
      </c>
      <c r="B27" s="99">
        <v>11</v>
      </c>
      <c r="C27" s="63" t="str">
        <f t="shared" si="0"/>
        <v>GER19961026</v>
      </c>
      <c r="D27" s="64" t="str">
        <f t="shared" si="1"/>
        <v>FRANZ Paul</v>
      </c>
      <c r="E27" s="65" t="str">
        <f t="shared" si="2"/>
        <v>JUNIOREN SCHWALBE TEAM SACHSEN</v>
      </c>
      <c r="F27" s="66" t="str">
        <f t="shared" si="3"/>
        <v>SAC 134886</v>
      </c>
      <c r="G27" s="67" t="str">
        <f t="shared" si="4"/>
        <v>JUNIOR</v>
      </c>
      <c r="H27" s="67" t="str">
        <f t="shared" si="5"/>
        <v>SCW</v>
      </c>
      <c r="I27" s="224">
        <v>0.38541666666666802</v>
      </c>
      <c r="J27" s="31"/>
      <c r="K27" s="31"/>
    </row>
    <row r="28" spans="1:11" s="69" customFormat="1" ht="13.7" customHeight="1" x14ac:dyDescent="0.2">
      <c r="A28" s="53">
        <v>17</v>
      </c>
      <c r="B28" s="99">
        <v>23</v>
      </c>
      <c r="C28" s="63" t="str">
        <f t="shared" si="0"/>
        <v>GER19981211</v>
      </c>
      <c r="D28" s="64" t="str">
        <f t="shared" si="1"/>
        <v>POUL Rudolph</v>
      </c>
      <c r="E28" s="65" t="str">
        <f t="shared" si="2"/>
        <v>RG BERLIN</v>
      </c>
      <c r="F28" s="66" t="str">
        <f t="shared" si="3"/>
        <v>BER 032411</v>
      </c>
      <c r="G28" s="67" t="str">
        <f t="shared" si="4"/>
        <v>CADET</v>
      </c>
      <c r="H28" s="67" t="str">
        <f t="shared" si="5"/>
        <v>RGB</v>
      </c>
      <c r="I28" s="224">
        <v>0.38611111111111202</v>
      </c>
      <c r="J28" s="31"/>
      <c r="K28" s="31"/>
    </row>
    <row r="29" spans="1:11" s="69" customFormat="1" ht="13.7" customHeight="1" x14ac:dyDescent="0.2">
      <c r="A29" s="53">
        <v>18</v>
      </c>
      <c r="B29" s="99">
        <v>131</v>
      </c>
      <c r="C29" s="63" t="str">
        <f t="shared" si="0"/>
        <v>AUT19961107</v>
      </c>
      <c r="D29" s="64" t="str">
        <f t="shared" si="1"/>
        <v>FÜHRER Alexander</v>
      </c>
      <c r="E29" s="65" t="str">
        <f t="shared" si="2"/>
        <v>RLM WIEN</v>
      </c>
      <c r="F29" s="66">
        <f t="shared" si="3"/>
        <v>100020</v>
      </c>
      <c r="G29" s="67" t="str">
        <f t="shared" si="4"/>
        <v>JUNIOR</v>
      </c>
      <c r="H29" s="67" t="str">
        <f t="shared" si="5"/>
        <v>RCA</v>
      </c>
      <c r="I29" s="224">
        <v>0.38680555555555701</v>
      </c>
      <c r="J29" s="31"/>
      <c r="K29" s="31"/>
    </row>
    <row r="30" spans="1:11" s="69" customFormat="1" ht="13.7" customHeight="1" x14ac:dyDescent="0.2">
      <c r="A30" s="53">
        <v>19</v>
      </c>
      <c r="B30" s="99">
        <v>59</v>
      </c>
      <c r="C30" s="63" t="str">
        <f t="shared" si="0"/>
        <v>CZE19960727</v>
      </c>
      <c r="D30" s="64" t="str">
        <f t="shared" si="1"/>
        <v xml:space="preserve">PREJDA Václav </v>
      </c>
      <c r="E30" s="65" t="str">
        <f t="shared" si="2"/>
        <v xml:space="preserve">SK JIŘÍ TEAM OSTRAVA </v>
      </c>
      <c r="F30" s="66">
        <f t="shared" si="3"/>
        <v>16035</v>
      </c>
      <c r="G30" s="67" t="str">
        <f t="shared" si="4"/>
        <v>JUNIOR</v>
      </c>
      <c r="H30" s="67" t="str">
        <f t="shared" si="5"/>
        <v>GLI</v>
      </c>
      <c r="I30" s="224">
        <v>0.38750000000000101</v>
      </c>
      <c r="J30" s="31"/>
      <c r="K30" s="31"/>
    </row>
    <row r="31" spans="1:11" s="69" customFormat="1" ht="13.7" customHeight="1" x14ac:dyDescent="0.2">
      <c r="A31" s="53">
        <v>20</v>
      </c>
      <c r="B31" s="99">
        <v>50</v>
      </c>
      <c r="C31" s="63" t="str">
        <f t="shared" si="0"/>
        <v>CZE19960203</v>
      </c>
      <c r="D31" s="64" t="str">
        <f t="shared" si="1"/>
        <v xml:space="preserve">VRÁNA Dominik </v>
      </c>
      <c r="E31" s="65" t="str">
        <f t="shared" si="2"/>
        <v>KC KOOPERATIVA SG JABLONEC N.N</v>
      </c>
      <c r="F31" s="66">
        <f t="shared" si="3"/>
        <v>8884</v>
      </c>
      <c r="G31" s="67" t="str">
        <f t="shared" si="4"/>
        <v>JUNIOR</v>
      </c>
      <c r="H31" s="67" t="str">
        <f t="shared" si="5"/>
        <v>KOO</v>
      </c>
      <c r="I31" s="224">
        <v>0.38819444444444601</v>
      </c>
      <c r="J31" s="31"/>
      <c r="K31" s="31"/>
    </row>
    <row r="32" spans="1:11" s="69" customFormat="1" ht="13.7" customHeight="1" x14ac:dyDescent="0.2">
      <c r="A32" s="53">
        <v>21</v>
      </c>
      <c r="B32" s="99">
        <v>13</v>
      </c>
      <c r="C32" s="63" t="str">
        <f t="shared" si="0"/>
        <v>GER19970125</v>
      </c>
      <c r="D32" s="64" t="str">
        <f t="shared" si="1"/>
        <v>FRANZ Toni</v>
      </c>
      <c r="E32" s="65" t="str">
        <f t="shared" si="2"/>
        <v>JUNIOREN SCHWALBE TEAM SACHSEN</v>
      </c>
      <c r="F32" s="66" t="str">
        <f t="shared" si="3"/>
        <v xml:space="preserve">SAC 134961 </v>
      </c>
      <c r="G32" s="67" t="str">
        <f t="shared" si="4"/>
        <v>JUNIOR*</v>
      </c>
      <c r="H32" s="67" t="str">
        <f t="shared" si="5"/>
        <v>SCW</v>
      </c>
      <c r="I32" s="224">
        <v>0.38888888888889001</v>
      </c>
      <c r="J32" s="31"/>
      <c r="K32" s="31"/>
    </row>
    <row r="33" spans="1:11" s="69" customFormat="1" ht="13.7" customHeight="1" x14ac:dyDescent="0.2">
      <c r="A33" s="53">
        <v>22</v>
      </c>
      <c r="B33" s="99">
        <v>95</v>
      </c>
      <c r="C33" s="63" t="str">
        <f t="shared" si="0"/>
        <v>CZE19970813</v>
      </c>
      <c r="D33" s="64" t="str">
        <f t="shared" si="1"/>
        <v xml:space="preserve">LAFUNTÁL Robert </v>
      </c>
      <c r="E33" s="65" t="str">
        <f t="shared" si="2"/>
        <v xml:space="preserve">TJ FAVORIT BRNO </v>
      </c>
      <c r="F33" s="66">
        <f t="shared" si="3"/>
        <v>13204</v>
      </c>
      <c r="G33" s="67" t="str">
        <f t="shared" si="4"/>
        <v>JUNIOR*</v>
      </c>
      <c r="H33" s="67" t="str">
        <f t="shared" si="5"/>
        <v>FAV</v>
      </c>
      <c r="I33" s="224">
        <v>0.389583333333334</v>
      </c>
      <c r="J33" s="31"/>
      <c r="K33" s="31"/>
    </row>
    <row r="34" spans="1:11" s="69" customFormat="1" ht="13.7" customHeight="1" x14ac:dyDescent="0.2">
      <c r="A34" s="53">
        <v>23</v>
      </c>
      <c r="B34" s="99">
        <v>184</v>
      </c>
      <c r="C34" s="63" t="str">
        <f t="shared" si="0"/>
        <v>AUT19961024</v>
      </c>
      <c r="D34" s="64" t="str">
        <f t="shared" si="1"/>
        <v>STATTMANN Lukas</v>
      </c>
      <c r="E34" s="65" t="str">
        <f t="shared" si="2"/>
        <v xml:space="preserve">LRV STEIERMARK </v>
      </c>
      <c r="F34" s="66">
        <f t="shared" si="3"/>
        <v>100830</v>
      </c>
      <c r="G34" s="67" t="str">
        <f t="shared" si="4"/>
        <v>JUNIOR</v>
      </c>
      <c r="H34" s="67" t="str">
        <f t="shared" si="5"/>
        <v>LRV</v>
      </c>
      <c r="I34" s="224">
        <v>0.390277777777779</v>
      </c>
      <c r="J34" s="31"/>
      <c r="K34" s="31"/>
    </row>
    <row r="35" spans="1:11" s="69" customFormat="1" ht="13.7" customHeight="1" x14ac:dyDescent="0.2">
      <c r="A35" s="53">
        <v>24</v>
      </c>
      <c r="B35" s="99">
        <v>73</v>
      </c>
      <c r="C35" s="63" t="str">
        <f t="shared" si="0"/>
        <v>SVK19970207</v>
      </c>
      <c r="D35" s="64" t="str">
        <f t="shared" si="1"/>
        <v>GAVENDA Miroslav</v>
      </c>
      <c r="E35" s="65" t="str">
        <f t="shared" si="2"/>
        <v>SLÁVIA ŠG TRENČÍN</v>
      </c>
      <c r="F35" s="66">
        <f t="shared" si="3"/>
        <v>6366</v>
      </c>
      <c r="G35" s="67" t="str">
        <f t="shared" si="4"/>
        <v>JUNIOR*</v>
      </c>
      <c r="H35" s="67" t="str">
        <f t="shared" si="5"/>
        <v>SLA</v>
      </c>
      <c r="I35" s="224">
        <v>0.390972222222223</v>
      </c>
      <c r="J35" s="31"/>
      <c r="K35" s="31"/>
    </row>
    <row r="36" spans="1:11" s="69" customFormat="1" ht="13.7" customHeight="1" x14ac:dyDescent="0.2">
      <c r="A36" s="53">
        <v>25</v>
      </c>
      <c r="B36" s="99">
        <v>41</v>
      </c>
      <c r="C36" s="63" t="str">
        <f t="shared" si="0"/>
        <v>CZE19960310</v>
      </c>
      <c r="D36" s="64" t="str">
        <f t="shared" si="1"/>
        <v xml:space="preserve">ŠULC Jakub </v>
      </c>
      <c r="E36" s="65" t="str">
        <f t="shared" si="2"/>
        <v xml:space="preserve">KOLA-BBM.CZ </v>
      </c>
      <c r="F36" s="66">
        <f t="shared" si="3"/>
        <v>3358</v>
      </c>
      <c r="G36" s="67" t="str">
        <f t="shared" si="4"/>
        <v>JUNIOR</v>
      </c>
      <c r="H36" s="67" t="str">
        <f t="shared" si="5"/>
        <v>KOO</v>
      </c>
      <c r="I36" s="224">
        <v>0.391666666666668</v>
      </c>
      <c r="J36" s="31"/>
      <c r="K36" s="31"/>
    </row>
    <row r="37" spans="1:11" s="69" customFormat="1" ht="13.7" customHeight="1" x14ac:dyDescent="0.2">
      <c r="A37" s="53">
        <v>26</v>
      </c>
      <c r="B37" s="99">
        <v>65</v>
      </c>
      <c r="C37" s="63" t="str">
        <f t="shared" si="0"/>
        <v>POL19970608</v>
      </c>
      <c r="D37" s="64" t="str">
        <f t="shared" si="1"/>
        <v>BISKUP Bartosz</v>
      </c>
      <c r="E37" s="65" t="str">
        <f t="shared" si="2"/>
        <v xml:space="preserve">DSR AUTHOR GÓRNIK WAŁBRZYCH </v>
      </c>
      <c r="F37" s="66" t="str">
        <f t="shared" si="3"/>
        <v>DLS272</v>
      </c>
      <c r="G37" s="67" t="str">
        <f t="shared" si="4"/>
        <v>JUNIOR*</v>
      </c>
      <c r="H37" s="67" t="str">
        <f t="shared" si="5"/>
        <v>GOR</v>
      </c>
      <c r="I37" s="224">
        <v>0.39236111111111199</v>
      </c>
      <c r="J37" s="31"/>
      <c r="K37" s="31"/>
    </row>
    <row r="38" spans="1:11" s="69" customFormat="1" ht="13.7" customHeight="1" x14ac:dyDescent="0.2">
      <c r="A38" s="53">
        <v>27</v>
      </c>
      <c r="B38" s="99">
        <v>183</v>
      </c>
      <c r="C38" s="63" t="str">
        <f t="shared" si="0"/>
        <v>AUT19961121</v>
      </c>
      <c r="D38" s="64" t="str">
        <f t="shared" si="1"/>
        <v>KROGER Klemens</v>
      </c>
      <c r="E38" s="65" t="str">
        <f t="shared" si="2"/>
        <v xml:space="preserve">LRV STEIERMARK </v>
      </c>
      <c r="F38" s="66">
        <f t="shared" si="3"/>
        <v>100828</v>
      </c>
      <c r="G38" s="67" t="str">
        <f t="shared" si="4"/>
        <v>JUNIOR</v>
      </c>
      <c r="H38" s="67" t="str">
        <f t="shared" si="5"/>
        <v>LRV</v>
      </c>
      <c r="I38" s="224">
        <v>0.39305555555555699</v>
      </c>
      <c r="J38" s="31"/>
      <c r="K38" s="31"/>
    </row>
    <row r="39" spans="1:11" s="69" customFormat="1" ht="13.7" customHeight="1" x14ac:dyDescent="0.2">
      <c r="A39" s="53">
        <v>28</v>
      </c>
      <c r="B39" s="99">
        <v>35</v>
      </c>
      <c r="C39" s="63" t="str">
        <f t="shared" si="0"/>
        <v>CZE19970320</v>
      </c>
      <c r="D39" s="64" t="str">
        <f t="shared" si="1"/>
        <v xml:space="preserve">KUTIŠ Martin </v>
      </c>
      <c r="E39" s="65" t="str">
        <f t="shared" si="2"/>
        <v>ALLTRAINING.CZ</v>
      </c>
      <c r="F39" s="66">
        <f t="shared" si="3"/>
        <v>19969</v>
      </c>
      <c r="G39" s="67" t="str">
        <f t="shared" si="4"/>
        <v>JUNIOR*</v>
      </c>
      <c r="H39" s="67" t="str">
        <f t="shared" si="5"/>
        <v>REM</v>
      </c>
      <c r="I39" s="224">
        <v>0.39375000000000099</v>
      </c>
      <c r="J39" s="31"/>
      <c r="K39" s="31"/>
    </row>
    <row r="40" spans="1:11" s="69" customFormat="1" ht="13.7" customHeight="1" x14ac:dyDescent="0.2">
      <c r="A40" s="53">
        <v>29</v>
      </c>
      <c r="B40" s="99">
        <v>172</v>
      </c>
      <c r="C40" s="63" t="str">
        <f t="shared" si="0"/>
        <v>SVK19971030</v>
      </c>
      <c r="D40" s="64" t="str">
        <f t="shared" si="1"/>
        <v>ZIMANY Kristian</v>
      </c>
      <c r="E40" s="65" t="str">
        <f t="shared" si="2"/>
        <v xml:space="preserve">SLOVAK CYCLING FEDERATION </v>
      </c>
      <c r="F40" s="66">
        <f t="shared" si="3"/>
        <v>5765</v>
      </c>
      <c r="G40" s="67" t="str">
        <f t="shared" si="4"/>
        <v>JUNIOR*</v>
      </c>
      <c r="H40" s="67" t="str">
        <f t="shared" si="5"/>
        <v>SVK</v>
      </c>
      <c r="I40" s="224">
        <v>0.39444444444444599</v>
      </c>
      <c r="J40" s="31"/>
      <c r="K40" s="31"/>
    </row>
    <row r="41" spans="1:11" s="69" customFormat="1" ht="13.7" customHeight="1" x14ac:dyDescent="0.2">
      <c r="A41" s="53">
        <v>30</v>
      </c>
      <c r="B41" s="99">
        <v>10</v>
      </c>
      <c r="C41" s="63" t="str">
        <f t="shared" si="0"/>
        <v>GER19970316</v>
      </c>
      <c r="D41" s="64" t="str">
        <f t="shared" si="1"/>
        <v>WELTZ Niclas</v>
      </c>
      <c r="E41" s="65" t="str">
        <f t="shared" si="2"/>
        <v>RSC TURBINE ERFURT</v>
      </c>
      <c r="F41" s="66" t="str">
        <f t="shared" si="3"/>
        <v>THÜ173103</v>
      </c>
      <c r="G41" s="67" t="str">
        <f t="shared" si="4"/>
        <v>JUNIOR*</v>
      </c>
      <c r="H41" s="67" t="str">
        <f t="shared" si="5"/>
        <v>TUR</v>
      </c>
      <c r="I41" s="224">
        <v>0.39513888888888998</v>
      </c>
      <c r="J41" s="31"/>
      <c r="K41" s="31"/>
    </row>
    <row r="42" spans="1:11" s="69" customFormat="1" ht="13.7" customHeight="1" x14ac:dyDescent="0.2">
      <c r="A42" s="53">
        <v>31</v>
      </c>
      <c r="B42" s="99">
        <v>75</v>
      </c>
      <c r="C42" s="63" t="str">
        <f t="shared" si="0"/>
        <v>SVK19981117</v>
      </c>
      <c r="D42" s="64" t="str">
        <f t="shared" si="1"/>
        <v>ZEMAN Alex</v>
      </c>
      <c r="E42" s="65" t="str">
        <f t="shared" si="2"/>
        <v>SLÁVIA ŠG TRENČÍN</v>
      </c>
      <c r="F42" s="66">
        <f t="shared" si="3"/>
        <v>6021</v>
      </c>
      <c r="G42" s="67" t="str">
        <f t="shared" si="4"/>
        <v>CADET</v>
      </c>
      <c r="H42" s="67" t="str">
        <f t="shared" si="5"/>
        <v>SLA</v>
      </c>
      <c r="I42" s="224">
        <v>0.39583333333333498</v>
      </c>
      <c r="J42" s="31"/>
      <c r="K42" s="31"/>
    </row>
    <row r="43" spans="1:11" s="69" customFormat="1" ht="13.7" customHeight="1" x14ac:dyDescent="0.2">
      <c r="A43" s="53">
        <v>32</v>
      </c>
      <c r="B43" s="99">
        <v>44</v>
      </c>
      <c r="C43" s="63" t="str">
        <f t="shared" si="0"/>
        <v>CZE19960213</v>
      </c>
      <c r="D43" s="64" t="str">
        <f t="shared" si="1"/>
        <v xml:space="preserve">JUREČKA Jiří </v>
      </c>
      <c r="E43" s="65" t="str">
        <f t="shared" si="2"/>
        <v>KC KOOPERATIVA SG JABLONEC N.N</v>
      </c>
      <c r="F43" s="66">
        <f t="shared" si="3"/>
        <v>5366</v>
      </c>
      <c r="G43" s="67" t="str">
        <f t="shared" si="4"/>
        <v>JUNIOR</v>
      </c>
      <c r="H43" s="67" t="str">
        <f t="shared" si="5"/>
        <v>KOO</v>
      </c>
      <c r="I43" s="224">
        <v>0.39652777777777898</v>
      </c>
      <c r="J43" s="31"/>
      <c r="K43" s="31"/>
    </row>
    <row r="44" spans="1:11" s="69" customFormat="1" ht="13.7" customHeight="1" x14ac:dyDescent="0.2">
      <c r="A44" s="53">
        <v>33</v>
      </c>
      <c r="B44" s="99">
        <v>32</v>
      </c>
      <c r="C44" s="63" t="str">
        <f t="shared" ref="C44:C75" si="6">VLOOKUP(B44,STARTOVKA,2,0)</f>
        <v>CZE19970916</v>
      </c>
      <c r="D44" s="64" t="str">
        <f t="shared" ref="D44:D75" si="7">VLOOKUP(B44,STARTOVKA,3,0)</f>
        <v xml:space="preserve">KUNT Lukáš </v>
      </c>
      <c r="E44" s="65" t="str">
        <f t="shared" ref="E44:E75" si="8">VLOOKUP(B44,STARTOVKA,4,0)</f>
        <v xml:space="preserve">REMERX - MERIDA TEAM KOLÍN </v>
      </c>
      <c r="F44" s="66">
        <f t="shared" ref="F44:F75" si="9">VLOOKUP(B44,STARTOVKA,5,0)</f>
        <v>14658</v>
      </c>
      <c r="G44" s="67" t="str">
        <f t="shared" ref="G44:G75" si="10">VLOOKUP(B44,STARTOVKA,6,0)</f>
        <v>JUNIOR*</v>
      </c>
      <c r="H44" s="67" t="str">
        <f t="shared" ref="H44:H75" si="11">VLOOKUP(B44,STARTOVKA,7,0)</f>
        <v>REM</v>
      </c>
      <c r="I44" s="224">
        <v>0.39722222222222398</v>
      </c>
      <c r="J44" s="31"/>
      <c r="K44" s="31"/>
    </row>
    <row r="45" spans="1:11" s="69" customFormat="1" ht="13.7" customHeight="1" x14ac:dyDescent="0.2">
      <c r="A45" s="53">
        <v>34</v>
      </c>
      <c r="B45" s="99">
        <v>81</v>
      </c>
      <c r="C45" s="63" t="str">
        <f t="shared" si="6"/>
        <v>CZE19980303</v>
      </c>
      <c r="D45" s="64" t="str">
        <f t="shared" si="7"/>
        <v xml:space="preserve">KOUDELA Dominik </v>
      </c>
      <c r="E45" s="65" t="str">
        <f t="shared" si="8"/>
        <v xml:space="preserve">TJ KOVO PRAHA </v>
      </c>
      <c r="F45" s="66">
        <f t="shared" si="9"/>
        <v>13590</v>
      </c>
      <c r="G45" s="67" t="str">
        <f t="shared" si="10"/>
        <v>CADET</v>
      </c>
      <c r="H45" s="67" t="str">
        <f t="shared" si="11"/>
        <v>KOV</v>
      </c>
      <c r="I45" s="224">
        <v>0.39791666666666797</v>
      </c>
      <c r="J45" s="31"/>
      <c r="K45" s="31"/>
    </row>
    <row r="46" spans="1:11" s="69" customFormat="1" ht="13.7" customHeight="1" x14ac:dyDescent="0.2">
      <c r="A46" s="53">
        <v>35</v>
      </c>
      <c r="B46" s="99">
        <v>141</v>
      </c>
      <c r="C46" s="63" t="str">
        <f t="shared" si="6"/>
        <v>CZE19960716</v>
      </c>
      <c r="D46" s="64" t="str">
        <f t="shared" si="7"/>
        <v xml:space="preserve">HYNEK Matouš </v>
      </c>
      <c r="E46" s="65" t="str">
        <f t="shared" si="8"/>
        <v xml:space="preserve">MAPEI CYKLO KAŇKOVSKÝ </v>
      </c>
      <c r="F46" s="66">
        <f t="shared" si="9"/>
        <v>7803</v>
      </c>
      <c r="G46" s="67" t="str">
        <f t="shared" si="10"/>
        <v>JUNIOR</v>
      </c>
      <c r="H46" s="67" t="str">
        <f t="shared" si="11"/>
        <v>MAP</v>
      </c>
      <c r="I46" s="224">
        <v>0.39861111111111303</v>
      </c>
      <c r="J46" s="31"/>
      <c r="K46" s="31"/>
    </row>
    <row r="47" spans="1:11" s="69" customFormat="1" ht="13.7" customHeight="1" x14ac:dyDescent="0.2">
      <c r="A47" s="53">
        <v>36</v>
      </c>
      <c r="B47" s="99">
        <v>145</v>
      </c>
      <c r="C47" s="63" t="str">
        <f t="shared" si="6"/>
        <v>CZE19961105</v>
      </c>
      <c r="D47" s="64" t="str">
        <f t="shared" si="7"/>
        <v xml:space="preserve">MUŽ Jan </v>
      </c>
      <c r="E47" s="65" t="str">
        <f t="shared" si="8"/>
        <v xml:space="preserve">MAPEI CYKLO KAŇKOVSKÝ </v>
      </c>
      <c r="F47" s="66">
        <f t="shared" si="9"/>
        <v>19338</v>
      </c>
      <c r="G47" s="67" t="str">
        <f t="shared" si="10"/>
        <v>JUNIOR</v>
      </c>
      <c r="H47" s="67" t="str">
        <f t="shared" si="11"/>
        <v>MAP</v>
      </c>
      <c r="I47" s="224">
        <v>0.39930555555555702</v>
      </c>
      <c r="J47" s="31"/>
      <c r="K47" s="31"/>
    </row>
    <row r="48" spans="1:11" s="69" customFormat="1" ht="13.7" customHeight="1" x14ac:dyDescent="0.2">
      <c r="A48" s="53">
        <v>37</v>
      </c>
      <c r="B48" s="99">
        <v>107</v>
      </c>
      <c r="C48" s="63" t="str">
        <f t="shared" si="6"/>
        <v>CZE19970110</v>
      </c>
      <c r="D48" s="64" t="str">
        <f t="shared" si="7"/>
        <v xml:space="preserve">KŘIKAVA Jakub </v>
      </c>
      <c r="E48" s="65" t="str">
        <f t="shared" si="8"/>
        <v xml:space="preserve">TJ ZČE CYKLISTIKA PLZEŇ </v>
      </c>
      <c r="F48" s="66">
        <f t="shared" si="9"/>
        <v>9167</v>
      </c>
      <c r="G48" s="67" t="str">
        <f t="shared" si="10"/>
        <v>JUNIOR*</v>
      </c>
      <c r="H48" s="67" t="str">
        <f t="shared" si="11"/>
        <v>LOU</v>
      </c>
      <c r="I48" s="224">
        <v>0.40000000000000202</v>
      </c>
      <c r="J48" s="31"/>
      <c r="K48" s="31"/>
    </row>
    <row r="49" spans="1:11" s="69" customFormat="1" ht="13.7" customHeight="1" x14ac:dyDescent="0.2">
      <c r="A49" s="53">
        <v>38</v>
      </c>
      <c r="B49" s="99">
        <v>82</v>
      </c>
      <c r="C49" s="63" t="str">
        <f t="shared" si="6"/>
        <v>CZE19960127</v>
      </c>
      <c r="D49" s="64" t="str">
        <f t="shared" si="7"/>
        <v xml:space="preserve">ŠIPOŠ Marek </v>
      </c>
      <c r="E49" s="65" t="str">
        <f t="shared" si="8"/>
        <v xml:space="preserve">TJ KOVO PRAHA </v>
      </c>
      <c r="F49" s="66">
        <f t="shared" si="9"/>
        <v>17984</v>
      </c>
      <c r="G49" s="67" t="str">
        <f t="shared" si="10"/>
        <v>JUNIOR</v>
      </c>
      <c r="H49" s="67" t="str">
        <f t="shared" si="11"/>
        <v>KOV</v>
      </c>
      <c r="I49" s="224">
        <v>0.40069444444444602</v>
      </c>
      <c r="J49" s="31"/>
      <c r="K49" s="31"/>
    </row>
    <row r="50" spans="1:11" s="69" customFormat="1" ht="13.7" customHeight="1" x14ac:dyDescent="0.2">
      <c r="A50" s="53">
        <v>39</v>
      </c>
      <c r="B50" s="99">
        <v>144</v>
      </c>
      <c r="C50" s="63" t="str">
        <f t="shared" si="6"/>
        <v>CZE19961220</v>
      </c>
      <c r="D50" s="64" t="str">
        <f t="shared" si="7"/>
        <v xml:space="preserve">LOVEČEK Adam </v>
      </c>
      <c r="E50" s="65" t="str">
        <f t="shared" si="8"/>
        <v xml:space="preserve">MAPEI CYKLO KAŇKOVSKÝ </v>
      </c>
      <c r="F50" s="66">
        <f t="shared" si="9"/>
        <v>19339</v>
      </c>
      <c r="G50" s="67" t="str">
        <f t="shared" si="10"/>
        <v>JUNIOR</v>
      </c>
      <c r="H50" s="67" t="str">
        <f t="shared" si="11"/>
        <v>MAP</v>
      </c>
      <c r="I50" s="224">
        <v>0.40138888888889102</v>
      </c>
      <c r="J50" s="31"/>
      <c r="K50" s="31"/>
    </row>
    <row r="51" spans="1:11" s="69" customFormat="1" ht="13.7" customHeight="1" x14ac:dyDescent="0.2">
      <c r="A51" s="53">
        <v>40</v>
      </c>
      <c r="B51" s="99">
        <v>142</v>
      </c>
      <c r="C51" s="63" t="str">
        <f t="shared" si="6"/>
        <v>CZE19971022</v>
      </c>
      <c r="D51" s="64" t="str">
        <f t="shared" si="7"/>
        <v xml:space="preserve">KLEVETA Jakub </v>
      </c>
      <c r="E51" s="65" t="str">
        <f t="shared" si="8"/>
        <v xml:space="preserve">MAPEI CYKLO KAŇKOVSKÝ </v>
      </c>
      <c r="F51" s="66">
        <f t="shared" si="9"/>
        <v>10284</v>
      </c>
      <c r="G51" s="67" t="str">
        <f t="shared" si="10"/>
        <v>JUNIOR*</v>
      </c>
      <c r="H51" s="67" t="str">
        <f t="shared" si="11"/>
        <v>MAP</v>
      </c>
      <c r="I51" s="224">
        <v>0.40208333333333501</v>
      </c>
      <c r="J51" s="31"/>
      <c r="K51" s="31"/>
    </row>
    <row r="52" spans="1:11" s="69" customFormat="1" ht="13.7" customHeight="1" x14ac:dyDescent="0.2">
      <c r="A52" s="53">
        <v>41</v>
      </c>
      <c r="B52" s="99">
        <v>152</v>
      </c>
      <c r="C52" s="63" t="str">
        <f t="shared" si="6"/>
        <v>CZE19970417</v>
      </c>
      <c r="D52" s="64" t="str">
        <f t="shared" si="7"/>
        <v>KUBEŠ Martin</v>
      </c>
      <c r="E52" s="65" t="str">
        <f t="shared" si="8"/>
        <v>CK DACOM PHARMA KYJOV</v>
      </c>
      <c r="F52" s="66">
        <f t="shared" si="9"/>
        <v>13287</v>
      </c>
      <c r="G52" s="67" t="str">
        <f t="shared" si="10"/>
        <v>JUNIOR*</v>
      </c>
      <c r="H52" s="67" t="str">
        <f t="shared" si="11"/>
        <v>SKC</v>
      </c>
      <c r="I52" s="224">
        <v>0.40277777777778001</v>
      </c>
      <c r="J52" s="31"/>
      <c r="K52" s="31"/>
    </row>
    <row r="53" spans="1:11" s="69" customFormat="1" ht="13.7" customHeight="1" x14ac:dyDescent="0.2">
      <c r="A53" s="53">
        <v>42</v>
      </c>
      <c r="B53" s="99">
        <v>21</v>
      </c>
      <c r="C53" s="63" t="str">
        <f t="shared" si="6"/>
        <v>GER19960322</v>
      </c>
      <c r="D53" s="64" t="str">
        <f t="shared" si="7"/>
        <v>DICKEL Jorge</v>
      </c>
      <c r="E53" s="65" t="str">
        <f t="shared" si="8"/>
        <v>RG BERLIN</v>
      </c>
      <c r="F53" s="66" t="str">
        <f t="shared" si="9"/>
        <v>03.15928.12</v>
      </c>
      <c r="G53" s="67" t="str">
        <f t="shared" si="10"/>
        <v>JUNIOR</v>
      </c>
      <c r="H53" s="67" t="str">
        <f t="shared" si="11"/>
        <v>RGB</v>
      </c>
      <c r="I53" s="224">
        <v>0.40347222222222401</v>
      </c>
      <c r="J53" s="31"/>
      <c r="K53" s="31"/>
    </row>
    <row r="54" spans="1:11" s="69" customFormat="1" ht="13.7" customHeight="1" x14ac:dyDescent="0.2">
      <c r="A54" s="53">
        <v>43</v>
      </c>
      <c r="B54" s="99">
        <v>31</v>
      </c>
      <c r="C54" s="63" t="str">
        <f t="shared" si="6"/>
        <v>CZE19960423</v>
      </c>
      <c r="D54" s="64" t="str">
        <f t="shared" si="7"/>
        <v xml:space="preserve">MORÁVEK Zdeněk </v>
      </c>
      <c r="E54" s="65" t="str">
        <f t="shared" si="8"/>
        <v>ALLTRAINING.CZ</v>
      </c>
      <c r="F54" s="66">
        <f t="shared" si="9"/>
        <v>19314</v>
      </c>
      <c r="G54" s="67" t="str">
        <f t="shared" si="10"/>
        <v>JUNIOR</v>
      </c>
      <c r="H54" s="67" t="str">
        <f t="shared" si="11"/>
        <v>REM</v>
      </c>
      <c r="I54" s="224">
        <v>0.40416666666666901</v>
      </c>
      <c r="J54" s="31"/>
      <c r="K54" s="31"/>
    </row>
    <row r="55" spans="1:11" s="69" customFormat="1" ht="13.7" customHeight="1" x14ac:dyDescent="0.2">
      <c r="A55" s="53">
        <v>44</v>
      </c>
      <c r="B55" s="99">
        <v>125</v>
      </c>
      <c r="C55" s="63" t="str">
        <f t="shared" si="6"/>
        <v>CZE19970118</v>
      </c>
      <c r="D55" s="64" t="str">
        <f t="shared" si="7"/>
        <v>MAYER Daniel</v>
      </c>
      <c r="E55" s="65" t="str">
        <f t="shared" si="8"/>
        <v>KC HLINSKO</v>
      </c>
      <c r="F55" s="66">
        <f t="shared" si="9"/>
        <v>13274</v>
      </c>
      <c r="G55" s="67" t="str">
        <f t="shared" si="10"/>
        <v>JUNIOR*</v>
      </c>
      <c r="H55" s="67" t="str">
        <f t="shared" si="11"/>
        <v>SKC</v>
      </c>
      <c r="I55" s="224">
        <v>0.404861111111113</v>
      </c>
      <c r="J55" s="31"/>
      <c r="K55" s="31"/>
    </row>
    <row r="56" spans="1:11" s="69" customFormat="1" ht="13.7" customHeight="1" x14ac:dyDescent="0.2">
      <c r="A56" s="53">
        <v>45</v>
      </c>
      <c r="B56" s="99">
        <v>187</v>
      </c>
      <c r="C56" s="63" t="str">
        <f t="shared" si="6"/>
        <v>AUT19970913</v>
      </c>
      <c r="D56" s="64" t="str">
        <f t="shared" si="7"/>
        <v>DALLINGER Christian</v>
      </c>
      <c r="E56" s="65" t="str">
        <f t="shared" si="8"/>
        <v xml:space="preserve">LRV STEIERMARK </v>
      </c>
      <c r="F56" s="66">
        <f t="shared" si="9"/>
        <v>100350</v>
      </c>
      <c r="G56" s="67" t="str">
        <f t="shared" si="10"/>
        <v>JUNIOR*</v>
      </c>
      <c r="H56" s="67" t="str">
        <f t="shared" si="11"/>
        <v>LRV</v>
      </c>
      <c r="I56" s="224">
        <v>0.405555555555558</v>
      </c>
      <c r="J56" s="31"/>
      <c r="K56" s="31"/>
    </row>
    <row r="57" spans="1:11" s="69" customFormat="1" ht="13.7" customHeight="1" x14ac:dyDescent="0.2">
      <c r="A57" s="53">
        <v>46</v>
      </c>
      <c r="B57" s="99">
        <v>58</v>
      </c>
      <c r="C57" s="63" t="str">
        <f t="shared" si="6"/>
        <v>CZE19970902</v>
      </c>
      <c r="D57" s="64" t="str">
        <f t="shared" si="7"/>
        <v xml:space="preserve">VÝVODA Jan </v>
      </c>
      <c r="E57" s="65" t="str">
        <f t="shared" si="8"/>
        <v xml:space="preserve">TJ SIGMA HRANICE </v>
      </c>
      <c r="F57" s="66">
        <f t="shared" si="9"/>
        <v>7780</v>
      </c>
      <c r="G57" s="67" t="str">
        <f t="shared" si="10"/>
        <v>JUNIOR*</v>
      </c>
      <c r="H57" s="67" t="str">
        <f t="shared" si="11"/>
        <v>GLI</v>
      </c>
      <c r="I57" s="224">
        <v>0.406250000000002</v>
      </c>
      <c r="J57" s="31"/>
      <c r="K57" s="31"/>
    </row>
    <row r="58" spans="1:11" s="69" customFormat="1" ht="13.7" customHeight="1" x14ac:dyDescent="0.2">
      <c r="A58" s="53">
        <v>47</v>
      </c>
      <c r="B58" s="99">
        <v>56</v>
      </c>
      <c r="C58" s="63" t="str">
        <f t="shared" si="6"/>
        <v>POL19970322</v>
      </c>
      <c r="D58" s="64" t="str">
        <f t="shared" si="7"/>
        <v>FOLTYN Maciej</v>
      </c>
      <c r="E58" s="65" t="str">
        <f t="shared" si="8"/>
        <v>GRUPA KOLARSKA GLIWICE BA</v>
      </c>
      <c r="F58" s="66" t="str">
        <f t="shared" si="9"/>
        <v>SLA219</v>
      </c>
      <c r="G58" s="67" t="str">
        <f t="shared" si="10"/>
        <v>JUNIOR*</v>
      </c>
      <c r="H58" s="67" t="str">
        <f t="shared" si="11"/>
        <v>GLI</v>
      </c>
      <c r="I58" s="224">
        <v>0.406944444444447</v>
      </c>
      <c r="J58" s="31"/>
      <c r="K58" s="31"/>
    </row>
    <row r="59" spans="1:11" s="69" customFormat="1" ht="13.7" customHeight="1" x14ac:dyDescent="0.2">
      <c r="A59" s="53">
        <v>48</v>
      </c>
      <c r="B59" s="99">
        <v>105</v>
      </c>
      <c r="C59" s="63" t="str">
        <f t="shared" si="6"/>
        <v>CZE19960511</v>
      </c>
      <c r="D59" s="64" t="str">
        <f t="shared" si="7"/>
        <v xml:space="preserve">RAJCHART Jan </v>
      </c>
      <c r="E59" s="65" t="str">
        <f t="shared" si="8"/>
        <v xml:space="preserve">NUTREND SPECIALIZED RACING </v>
      </c>
      <c r="F59" s="66">
        <f t="shared" si="9"/>
        <v>7437</v>
      </c>
      <c r="G59" s="67" t="str">
        <f t="shared" si="10"/>
        <v>JUNIOR</v>
      </c>
      <c r="H59" s="67" t="str">
        <f t="shared" si="11"/>
        <v>LOU</v>
      </c>
      <c r="I59" s="224">
        <v>0.40763888888889099</v>
      </c>
      <c r="J59" s="31"/>
      <c r="K59" s="31"/>
    </row>
    <row r="60" spans="1:11" s="69" customFormat="1" ht="13.7" customHeight="1" x14ac:dyDescent="0.2">
      <c r="A60" s="53">
        <v>49</v>
      </c>
      <c r="B60" s="99">
        <v>52</v>
      </c>
      <c r="C60" s="63" t="str">
        <f t="shared" si="6"/>
        <v>POL19961008</v>
      </c>
      <c r="D60" s="64" t="str">
        <f t="shared" si="7"/>
        <v>ZLOTOWICZ Patryk</v>
      </c>
      <c r="E60" s="65" t="str">
        <f t="shared" si="8"/>
        <v>KLUCZBORK</v>
      </c>
      <c r="F60" s="66" t="str">
        <f t="shared" si="9"/>
        <v>OPO-016</v>
      </c>
      <c r="G60" s="67" t="str">
        <f t="shared" si="10"/>
        <v>JUNIOR</v>
      </c>
      <c r="H60" s="67" t="str">
        <f t="shared" si="11"/>
        <v>GLI</v>
      </c>
      <c r="I60" s="224">
        <v>0.40833333333333599</v>
      </c>
      <c r="J60" s="31"/>
      <c r="K60" s="31"/>
    </row>
    <row r="61" spans="1:11" s="69" customFormat="1" ht="13.7" customHeight="1" x14ac:dyDescent="0.2">
      <c r="A61" s="53">
        <v>50</v>
      </c>
      <c r="B61" s="99">
        <v>133</v>
      </c>
      <c r="C61" s="63" t="str">
        <f t="shared" si="6"/>
        <v>CZE19960924</v>
      </c>
      <c r="D61" s="64" t="str">
        <f t="shared" si="7"/>
        <v>CAMRDA Pavel</v>
      </c>
      <c r="E61" s="65" t="str">
        <f t="shared" si="8"/>
        <v>RC ARBÖ WELS GOURMETFEIN</v>
      </c>
      <c r="F61" s="66">
        <f t="shared" si="9"/>
        <v>8509</v>
      </c>
      <c r="G61" s="67" t="str">
        <f t="shared" si="10"/>
        <v>JUNIOR</v>
      </c>
      <c r="H61" s="67" t="str">
        <f t="shared" si="11"/>
        <v>RCA</v>
      </c>
      <c r="I61" s="224">
        <v>0.40902777777777999</v>
      </c>
      <c r="J61" s="31"/>
      <c r="K61" s="31"/>
    </row>
    <row r="62" spans="1:11" s="69" customFormat="1" ht="13.7" customHeight="1" x14ac:dyDescent="0.2">
      <c r="A62" s="53">
        <v>51</v>
      </c>
      <c r="B62" s="99">
        <v>176</v>
      </c>
      <c r="C62" s="63" t="str">
        <f t="shared" si="6"/>
        <v>SVK19960130</v>
      </c>
      <c r="D62" s="64" t="str">
        <f t="shared" si="7"/>
        <v>BELLAN Juraj</v>
      </c>
      <c r="E62" s="65" t="str">
        <f t="shared" si="8"/>
        <v xml:space="preserve">SLOVAK CYCLING FEDERATION </v>
      </c>
      <c r="F62" s="66">
        <f t="shared" si="9"/>
        <v>5681</v>
      </c>
      <c r="G62" s="67" t="str">
        <f t="shared" si="10"/>
        <v>JUNIOR</v>
      </c>
      <c r="H62" s="67" t="str">
        <f t="shared" si="11"/>
        <v>SVK</v>
      </c>
      <c r="I62" s="224">
        <v>0.40972222222222499</v>
      </c>
      <c r="J62" s="31"/>
      <c r="K62" s="31"/>
    </row>
    <row r="63" spans="1:11" s="69" customFormat="1" ht="13.7" customHeight="1" x14ac:dyDescent="0.2">
      <c r="A63" s="53">
        <v>52</v>
      </c>
      <c r="B63" s="99">
        <v>114</v>
      </c>
      <c r="C63" s="63" t="str">
        <f t="shared" si="6"/>
        <v>GER19960823</v>
      </c>
      <c r="D63" s="64" t="str">
        <f t="shared" si="7"/>
        <v>SCHLOTT Julius</v>
      </c>
      <c r="E63" s="65" t="str">
        <f t="shared" si="8"/>
        <v>TEAM BRANDENBURG - RSC COTTBUS</v>
      </c>
      <c r="F63" s="66" t="str">
        <f t="shared" si="9"/>
        <v>044086-11</v>
      </c>
      <c r="G63" s="67" t="str">
        <f t="shared" si="10"/>
        <v>JUNIOR</v>
      </c>
      <c r="H63" s="67" t="str">
        <f t="shared" si="11"/>
        <v>COT</v>
      </c>
      <c r="I63" s="224">
        <v>0.41041666666666898</v>
      </c>
      <c r="J63" s="31"/>
      <c r="K63" s="31"/>
    </row>
    <row r="64" spans="1:11" s="69" customFormat="1" ht="13.7" customHeight="1" x14ac:dyDescent="0.2">
      <c r="A64" s="53">
        <v>53</v>
      </c>
      <c r="B64" s="99">
        <v>53</v>
      </c>
      <c r="C64" s="63" t="str">
        <f t="shared" si="6"/>
        <v>CZE19980914</v>
      </c>
      <c r="D64" s="64" t="str">
        <f t="shared" si="7"/>
        <v>TRACHTULEC Petr</v>
      </c>
      <c r="E64" s="65" t="str">
        <f t="shared" si="8"/>
        <v>CK FESO PETŘVALD</v>
      </c>
      <c r="F64" s="66">
        <f t="shared" si="9"/>
        <v>20073</v>
      </c>
      <c r="G64" s="67" t="str">
        <f t="shared" si="10"/>
        <v>CADET</v>
      </c>
      <c r="H64" s="67" t="str">
        <f t="shared" si="11"/>
        <v>GLI</v>
      </c>
      <c r="I64" s="224">
        <v>0.41111111111111398</v>
      </c>
      <c r="J64" s="31"/>
      <c r="K64" s="31"/>
    </row>
    <row r="65" spans="1:11" s="69" customFormat="1" ht="13.7" customHeight="1" x14ac:dyDescent="0.2">
      <c r="A65" s="53">
        <v>54</v>
      </c>
      <c r="B65" s="99">
        <v>4</v>
      </c>
      <c r="C65" s="63" t="str">
        <f t="shared" si="6"/>
        <v>GER19960212</v>
      </c>
      <c r="D65" s="64" t="str">
        <f t="shared" si="7"/>
        <v>SCHUBERT Erik</v>
      </c>
      <c r="E65" s="65" t="str">
        <f t="shared" si="8"/>
        <v>RV ELXLEBEN</v>
      </c>
      <c r="F65" s="66" t="str">
        <f t="shared" si="9"/>
        <v>THÜ170276</v>
      </c>
      <c r="G65" s="67" t="str">
        <f t="shared" si="10"/>
        <v>JUNIOR</v>
      </c>
      <c r="H65" s="67" t="str">
        <f t="shared" si="11"/>
        <v>TUR</v>
      </c>
      <c r="I65" s="224">
        <v>0.41180555555555798</v>
      </c>
      <c r="J65" s="31"/>
      <c r="K65" s="31"/>
    </row>
    <row r="66" spans="1:11" s="69" customFormat="1" ht="13.7" customHeight="1" x14ac:dyDescent="0.2">
      <c r="A66" s="53">
        <v>55</v>
      </c>
      <c r="B66" s="99">
        <v>164</v>
      </c>
      <c r="C66" s="63" t="str">
        <f t="shared" si="6"/>
        <v>RUS19970224</v>
      </c>
      <c r="D66" s="64" t="str">
        <f t="shared" si="7"/>
        <v>RIKUNOV Petr</v>
      </c>
      <c r="E66" s="65" t="str">
        <f t="shared" si="8"/>
        <v>RUSSIAN CYCLING FEDERATION</v>
      </c>
      <c r="F66" s="66" t="str">
        <f t="shared" si="9"/>
        <v>B0273</v>
      </c>
      <c r="G66" s="67" t="str">
        <f t="shared" si="10"/>
        <v>JUNIOR*</v>
      </c>
      <c r="H66" s="67" t="str">
        <f t="shared" si="11"/>
        <v>RUS</v>
      </c>
      <c r="I66" s="224">
        <v>0.41250000000000298</v>
      </c>
      <c r="J66" s="31"/>
      <c r="K66" s="31"/>
    </row>
    <row r="67" spans="1:11" s="69" customFormat="1" ht="13.7" customHeight="1" x14ac:dyDescent="0.2">
      <c r="A67" s="53">
        <v>56</v>
      </c>
      <c r="B67" s="99">
        <v>112</v>
      </c>
      <c r="C67" s="63" t="str">
        <f t="shared" si="6"/>
        <v>GER19970122</v>
      </c>
      <c r="D67" s="64" t="str">
        <f t="shared" si="7"/>
        <v>BERAN Andy</v>
      </c>
      <c r="E67" s="65" t="str">
        <f t="shared" si="8"/>
        <v>TEAM BRANDENBURG - RSC COTTBUS</v>
      </c>
      <c r="F67" s="66" t="str">
        <f t="shared" si="9"/>
        <v>604254-11</v>
      </c>
      <c r="G67" s="67" t="str">
        <f t="shared" si="10"/>
        <v>JUNIOR*</v>
      </c>
      <c r="H67" s="67" t="str">
        <f t="shared" si="11"/>
        <v>COT</v>
      </c>
      <c r="I67" s="224">
        <v>0.41319444444444697</v>
      </c>
      <c r="J67" s="31"/>
      <c r="K67" s="31"/>
    </row>
    <row r="68" spans="1:11" s="69" customFormat="1" ht="13.7" customHeight="1" x14ac:dyDescent="0.2">
      <c r="A68" s="53">
        <v>57</v>
      </c>
      <c r="B68" s="99">
        <v>51</v>
      </c>
      <c r="C68" s="63" t="str">
        <f t="shared" si="6"/>
        <v>CZE19980726</v>
      </c>
      <c r="D68" s="64" t="str">
        <f t="shared" si="7"/>
        <v xml:space="preserve">POKORNÝ Petr </v>
      </c>
      <c r="E68" s="65" t="str">
        <f t="shared" si="8"/>
        <v xml:space="preserve">ACK STARÁ VES NAD ONDŘEJNICÍ </v>
      </c>
      <c r="F68" s="66">
        <f t="shared" si="9"/>
        <v>9870</v>
      </c>
      <c r="G68" s="67" t="str">
        <f t="shared" si="10"/>
        <v>CADET</v>
      </c>
      <c r="H68" s="67" t="str">
        <f t="shared" si="11"/>
        <v>GLI</v>
      </c>
      <c r="I68" s="224">
        <v>0.41388888888889203</v>
      </c>
      <c r="J68" s="31"/>
      <c r="K68" s="31"/>
    </row>
    <row r="69" spans="1:11" s="69" customFormat="1" ht="13.7" customHeight="1" x14ac:dyDescent="0.2">
      <c r="A69" s="53">
        <v>58</v>
      </c>
      <c r="B69" s="99">
        <v>181</v>
      </c>
      <c r="C69" s="63" t="str">
        <f t="shared" si="6"/>
        <v>AUT19960516</v>
      </c>
      <c r="D69" s="64" t="str">
        <f t="shared" si="7"/>
        <v>DYCZEK Felix</v>
      </c>
      <c r="E69" s="65" t="str">
        <f t="shared" si="8"/>
        <v xml:space="preserve">LRV STEIERMARK </v>
      </c>
      <c r="F69" s="66">
        <f t="shared" si="9"/>
        <v>100824</v>
      </c>
      <c r="G69" s="67" t="str">
        <f t="shared" si="10"/>
        <v>JUNIOR</v>
      </c>
      <c r="H69" s="67" t="str">
        <f t="shared" si="11"/>
        <v>LRV</v>
      </c>
      <c r="I69" s="224">
        <v>0.41458333333333602</v>
      </c>
      <c r="J69" s="31"/>
      <c r="K69" s="31"/>
    </row>
    <row r="70" spans="1:11" s="69" customFormat="1" ht="13.7" customHeight="1" x14ac:dyDescent="0.2">
      <c r="A70" s="53">
        <v>59</v>
      </c>
      <c r="B70" s="99">
        <v>14</v>
      </c>
      <c r="C70" s="63" t="str">
        <f t="shared" si="6"/>
        <v>GER19970806</v>
      </c>
      <c r="D70" s="64" t="str">
        <f t="shared" si="7"/>
        <v>BINAY Noah</v>
      </c>
      <c r="E70" s="65" t="str">
        <f t="shared" si="8"/>
        <v>JUNIOREN SCHWALBE TEAM SACHSEN</v>
      </c>
      <c r="F70" s="66" t="str">
        <f t="shared" si="9"/>
        <v>SAC 142218</v>
      </c>
      <c r="G70" s="67" t="str">
        <f t="shared" si="10"/>
        <v>JUNIOR*</v>
      </c>
      <c r="H70" s="67" t="str">
        <f t="shared" si="11"/>
        <v>SCW</v>
      </c>
      <c r="I70" s="224">
        <v>0.41527777777778102</v>
      </c>
      <c r="J70" s="31"/>
      <c r="K70" s="31"/>
    </row>
    <row r="71" spans="1:11" s="69" customFormat="1" ht="13.7" customHeight="1" x14ac:dyDescent="0.2">
      <c r="A71" s="53">
        <v>60</v>
      </c>
      <c r="B71" s="99">
        <v>149</v>
      </c>
      <c r="C71" s="63" t="str">
        <f t="shared" si="6"/>
        <v>CZE19981228</v>
      </c>
      <c r="D71" s="64" t="str">
        <f t="shared" si="7"/>
        <v xml:space="preserve">WAGNER Jakub </v>
      </c>
      <c r="E71" s="65" t="str">
        <f t="shared" si="8"/>
        <v xml:space="preserve">MAPEI CYKLO KAŇKOVSKÝ </v>
      </c>
      <c r="F71" s="66">
        <f t="shared" si="9"/>
        <v>14090</v>
      </c>
      <c r="G71" s="67" t="str">
        <f t="shared" si="10"/>
        <v>CADET</v>
      </c>
      <c r="H71" s="67" t="str">
        <f t="shared" si="11"/>
        <v>MAP</v>
      </c>
      <c r="I71" s="224">
        <v>0.41597222222222502</v>
      </c>
      <c r="J71" s="31"/>
      <c r="K71" s="31"/>
    </row>
    <row r="72" spans="1:11" s="69" customFormat="1" ht="13.7" customHeight="1" x14ac:dyDescent="0.2">
      <c r="A72" s="53">
        <v>61</v>
      </c>
      <c r="B72" s="99">
        <v>18</v>
      </c>
      <c r="C72" s="63" t="str">
        <f t="shared" si="6"/>
        <v>GER19980906</v>
      </c>
      <c r="D72" s="64" t="str">
        <f t="shared" si="7"/>
        <v>ZSCHOCKE Maximilian</v>
      </c>
      <c r="E72" s="65" t="str">
        <f t="shared" si="8"/>
        <v>JUNIOREN SCHWALBE TEAM SACHSEN</v>
      </c>
      <c r="F72" s="66" t="str">
        <f t="shared" si="9"/>
        <v>SAC 135079</v>
      </c>
      <c r="G72" s="67" t="str">
        <f t="shared" si="10"/>
        <v>CADET</v>
      </c>
      <c r="H72" s="67" t="str">
        <f t="shared" si="11"/>
        <v>SCW</v>
      </c>
      <c r="I72" s="224">
        <v>0.41666666666667002</v>
      </c>
      <c r="J72" s="31"/>
      <c r="K72" s="31"/>
    </row>
    <row r="73" spans="1:11" s="69" customFormat="1" ht="13.7" customHeight="1" x14ac:dyDescent="0.2">
      <c r="A73" s="53">
        <v>62</v>
      </c>
      <c r="B73" s="99">
        <v>174</v>
      </c>
      <c r="C73" s="63" t="str">
        <f t="shared" si="6"/>
        <v>SVK19970730</v>
      </c>
      <c r="D73" s="64" t="str">
        <f t="shared" si="7"/>
        <v>JELŽA Nicolas</v>
      </c>
      <c r="E73" s="65" t="str">
        <f t="shared" si="8"/>
        <v xml:space="preserve">SLOVAK CYCLING FEDERATION </v>
      </c>
      <c r="F73" s="66">
        <f t="shared" si="9"/>
        <v>4237</v>
      </c>
      <c r="G73" s="67" t="str">
        <f t="shared" si="10"/>
        <v>JUNIOR*</v>
      </c>
      <c r="H73" s="67" t="str">
        <f t="shared" si="11"/>
        <v>SVK</v>
      </c>
      <c r="I73" s="224">
        <v>0.41736111111111401</v>
      </c>
      <c r="J73" s="31"/>
      <c r="K73" s="31"/>
    </row>
    <row r="74" spans="1:11" s="69" customFormat="1" ht="13.7" customHeight="1" x14ac:dyDescent="0.2">
      <c r="A74" s="53">
        <v>63</v>
      </c>
      <c r="B74" s="99">
        <v>97</v>
      </c>
      <c r="C74" s="63" t="str">
        <f t="shared" si="6"/>
        <v>SVK19961022</v>
      </c>
      <c r="D74" s="64" t="str">
        <f t="shared" si="7"/>
        <v xml:space="preserve">STRMISKA Andrej </v>
      </c>
      <c r="E74" s="65" t="str">
        <f t="shared" si="8"/>
        <v xml:space="preserve">TJ FAVORIT BRNO </v>
      </c>
      <c r="F74" s="66">
        <f t="shared" si="9"/>
        <v>6009</v>
      </c>
      <c r="G74" s="67" t="str">
        <f t="shared" si="10"/>
        <v>JUNIOR</v>
      </c>
      <c r="H74" s="67" t="str">
        <f t="shared" si="11"/>
        <v>FAV</v>
      </c>
      <c r="I74" s="224">
        <v>0.41805555555555901</v>
      </c>
      <c r="J74" s="31"/>
      <c r="K74" s="31"/>
    </row>
    <row r="75" spans="1:11" s="69" customFormat="1" ht="13.7" customHeight="1" x14ac:dyDescent="0.2">
      <c r="A75" s="53">
        <v>64</v>
      </c>
      <c r="B75" s="99">
        <v>55</v>
      </c>
      <c r="C75" s="63" t="str">
        <f t="shared" si="6"/>
        <v>POL19981009</v>
      </c>
      <c r="D75" s="64" t="str">
        <f t="shared" si="7"/>
        <v>FABIAN Marcel</v>
      </c>
      <c r="E75" s="65" t="str">
        <f t="shared" si="8"/>
        <v>GRUPA KOLARSKA GLIWICE BA</v>
      </c>
      <c r="F75" s="66" t="str">
        <f t="shared" si="9"/>
        <v>SLA012</v>
      </c>
      <c r="G75" s="67" t="str">
        <f t="shared" si="10"/>
        <v>CADET</v>
      </c>
      <c r="H75" s="67" t="str">
        <f t="shared" si="11"/>
        <v>GLI</v>
      </c>
      <c r="I75" s="224">
        <v>0.41875000000000301</v>
      </c>
      <c r="J75" s="31"/>
      <c r="K75" s="31"/>
    </row>
    <row r="76" spans="1:11" s="69" customFormat="1" ht="13.7" customHeight="1" x14ac:dyDescent="0.2">
      <c r="A76" s="53">
        <v>65</v>
      </c>
      <c r="B76" s="99">
        <v>146</v>
      </c>
      <c r="C76" s="63" t="str">
        <f t="shared" ref="C76:C107" si="12">VLOOKUP(B76,STARTOVKA,2,0)</f>
        <v>CZE19980130</v>
      </c>
      <c r="D76" s="64" t="str">
        <f t="shared" ref="D76:D107" si="13">VLOOKUP(B76,STARTOVKA,3,0)</f>
        <v xml:space="preserve">OTRUBA Jakub </v>
      </c>
      <c r="E76" s="65" t="str">
        <f t="shared" ref="E76:E107" si="14">VLOOKUP(B76,STARTOVKA,4,0)</f>
        <v xml:space="preserve">MAPEI CYKLO KAŇKOVSKÝ </v>
      </c>
      <c r="F76" s="66">
        <f t="shared" ref="F76:F107" si="15">VLOOKUP(B76,STARTOVKA,5,0)</f>
        <v>19627</v>
      </c>
      <c r="G76" s="67" t="str">
        <f t="shared" ref="G76:G107" si="16">VLOOKUP(B76,STARTOVKA,6,0)</f>
        <v>CADET</v>
      </c>
      <c r="H76" s="67" t="str">
        <f t="shared" ref="H76:H107" si="17">VLOOKUP(B76,STARTOVKA,7,0)</f>
        <v>MAP</v>
      </c>
      <c r="I76" s="224">
        <v>0.41944444444444801</v>
      </c>
      <c r="J76" s="31"/>
      <c r="K76" s="31"/>
    </row>
    <row r="77" spans="1:11" s="69" customFormat="1" ht="13.7" customHeight="1" x14ac:dyDescent="0.2">
      <c r="A77" s="53">
        <v>66</v>
      </c>
      <c r="B77" s="99">
        <v>6</v>
      </c>
      <c r="C77" s="63" t="str">
        <f t="shared" si="12"/>
        <v>GER19970811</v>
      </c>
      <c r="D77" s="64" t="str">
        <f t="shared" si="13"/>
        <v>LINTZEL Philip</v>
      </c>
      <c r="E77" s="65" t="str">
        <f t="shared" si="14"/>
        <v>RSC TURBINE ERFURT</v>
      </c>
      <c r="F77" s="66" t="str">
        <f t="shared" si="15"/>
        <v>THÜ173079</v>
      </c>
      <c r="G77" s="67" t="str">
        <f t="shared" si="16"/>
        <v>JUNIOR*</v>
      </c>
      <c r="H77" s="67" t="str">
        <f t="shared" si="17"/>
        <v>TUR</v>
      </c>
      <c r="I77" s="224">
        <v>0.420138888888892</v>
      </c>
      <c r="J77" s="31"/>
      <c r="K77" s="31"/>
    </row>
    <row r="78" spans="1:11" s="69" customFormat="1" ht="13.7" customHeight="1" x14ac:dyDescent="0.2">
      <c r="A78" s="53">
        <v>67</v>
      </c>
      <c r="B78" s="99">
        <v>136</v>
      </c>
      <c r="C78" s="63" t="str">
        <f t="shared" si="12"/>
        <v>AUT19970822</v>
      </c>
      <c r="D78" s="64" t="str">
        <f t="shared" si="13"/>
        <v>STEINDLER Julian</v>
      </c>
      <c r="E78" s="65" t="str">
        <f t="shared" si="14"/>
        <v>RC ARBÖ WELS GOURMETFEIN</v>
      </c>
      <c r="F78" s="66">
        <f t="shared" si="15"/>
        <v>100089</v>
      </c>
      <c r="G78" s="67" t="str">
        <f t="shared" si="16"/>
        <v>JUNIOR*</v>
      </c>
      <c r="H78" s="67" t="str">
        <f t="shared" si="17"/>
        <v>RCA</v>
      </c>
      <c r="I78" s="224">
        <v>0.420833333333337</v>
      </c>
      <c r="J78" s="31"/>
      <c r="K78" s="31"/>
    </row>
    <row r="79" spans="1:11" s="69" customFormat="1" ht="13.7" customHeight="1" x14ac:dyDescent="0.2">
      <c r="A79" s="53">
        <v>68</v>
      </c>
      <c r="B79" s="99">
        <v>94</v>
      </c>
      <c r="C79" s="63" t="str">
        <f t="shared" si="12"/>
        <v>CZE19970127</v>
      </c>
      <c r="D79" s="64" t="str">
        <f t="shared" si="13"/>
        <v xml:space="preserve">KOTOUČEK Matěj </v>
      </c>
      <c r="E79" s="65" t="str">
        <f t="shared" si="14"/>
        <v xml:space="preserve">TJ FAVORIT BRNO </v>
      </c>
      <c r="F79" s="66">
        <f t="shared" si="15"/>
        <v>9917</v>
      </c>
      <c r="G79" s="67" t="str">
        <f t="shared" si="16"/>
        <v>JUNIOR*</v>
      </c>
      <c r="H79" s="67" t="str">
        <f t="shared" si="17"/>
        <v>FAV</v>
      </c>
      <c r="I79" s="224">
        <v>0.421527777777781</v>
      </c>
      <c r="J79" s="31"/>
      <c r="K79" s="31"/>
    </row>
    <row r="80" spans="1:11" s="69" customFormat="1" ht="13.7" customHeight="1" x14ac:dyDescent="0.2">
      <c r="A80" s="53">
        <v>69</v>
      </c>
      <c r="B80" s="99">
        <v>42</v>
      </c>
      <c r="C80" s="63" t="str">
        <f t="shared" si="12"/>
        <v>CZE19961125</v>
      </c>
      <c r="D80" s="64" t="str">
        <f t="shared" si="13"/>
        <v xml:space="preserve">ANDRŠ Jakub </v>
      </c>
      <c r="E80" s="65" t="str">
        <f t="shared" si="14"/>
        <v>KC KOOPERATIVA SG JABLONEC N.N</v>
      </c>
      <c r="F80" s="66">
        <f t="shared" si="15"/>
        <v>12251</v>
      </c>
      <c r="G80" s="67" t="str">
        <f t="shared" si="16"/>
        <v>JUNIOR</v>
      </c>
      <c r="H80" s="67" t="str">
        <f t="shared" si="17"/>
        <v>KOO</v>
      </c>
      <c r="I80" s="224">
        <v>0.422222222222226</v>
      </c>
      <c r="J80" s="31"/>
      <c r="K80" s="31"/>
    </row>
    <row r="81" spans="1:11" s="69" customFormat="1" ht="13.7" customHeight="1" x14ac:dyDescent="0.2">
      <c r="A81" s="53">
        <v>70</v>
      </c>
      <c r="B81" s="99">
        <v>45</v>
      </c>
      <c r="C81" s="63" t="str">
        <f t="shared" si="12"/>
        <v>CZE19960630</v>
      </c>
      <c r="D81" s="64" t="str">
        <f t="shared" si="13"/>
        <v xml:space="preserve">LEHKÝ Roman </v>
      </c>
      <c r="E81" s="65" t="str">
        <f t="shared" si="14"/>
        <v>KC KOOPERATIVA SG JABLONEC N.N</v>
      </c>
      <c r="F81" s="66">
        <f t="shared" si="15"/>
        <v>9859</v>
      </c>
      <c r="G81" s="67" t="str">
        <f t="shared" si="16"/>
        <v>JUNIOR</v>
      </c>
      <c r="H81" s="67" t="str">
        <f t="shared" si="17"/>
        <v>KOO</v>
      </c>
      <c r="I81" s="224">
        <v>0.42291666666666999</v>
      </c>
      <c r="J81" s="31"/>
      <c r="K81" s="31"/>
    </row>
    <row r="82" spans="1:11" s="69" customFormat="1" ht="13.7" customHeight="1" x14ac:dyDescent="0.2">
      <c r="A82" s="53">
        <v>71</v>
      </c>
      <c r="B82" s="99">
        <v>154</v>
      </c>
      <c r="C82" s="63" t="str">
        <f t="shared" si="12"/>
        <v>CZE19970227</v>
      </c>
      <c r="D82" s="64" t="str">
        <f t="shared" si="13"/>
        <v>PAVKA Filip</v>
      </c>
      <c r="E82" s="65" t="str">
        <f t="shared" si="14"/>
        <v>STEVENS ZNOJMO</v>
      </c>
      <c r="F82" s="66">
        <f t="shared" si="15"/>
        <v>20126</v>
      </c>
      <c r="G82" s="67" t="str">
        <f t="shared" si="16"/>
        <v>JUNIOR*</v>
      </c>
      <c r="H82" s="67" t="str">
        <f t="shared" si="17"/>
        <v>SKC</v>
      </c>
      <c r="I82" s="224">
        <v>0.42361111111111499</v>
      </c>
      <c r="J82" s="31"/>
      <c r="K82" s="31"/>
    </row>
    <row r="83" spans="1:11" s="69" customFormat="1" ht="13.7" customHeight="1" x14ac:dyDescent="0.2">
      <c r="A83" s="53">
        <v>72</v>
      </c>
      <c r="B83" s="99">
        <v>134</v>
      </c>
      <c r="C83" s="63" t="str">
        <f t="shared" si="12"/>
        <v>AUT19960910</v>
      </c>
      <c r="D83" s="64" t="str">
        <f t="shared" si="13"/>
        <v>HUBER Marcel</v>
      </c>
      <c r="E83" s="65" t="str">
        <f t="shared" si="14"/>
        <v>RC ARBÖ WELS GOURMETFEIN</v>
      </c>
      <c r="F83" s="66">
        <f t="shared" si="15"/>
        <v>100090</v>
      </c>
      <c r="G83" s="67" t="str">
        <f t="shared" si="16"/>
        <v>JUNIOR</v>
      </c>
      <c r="H83" s="67" t="str">
        <f t="shared" si="17"/>
        <v>RCA</v>
      </c>
      <c r="I83" s="224">
        <v>0.42430555555555899</v>
      </c>
      <c r="J83" s="31"/>
      <c r="K83" s="31"/>
    </row>
    <row r="84" spans="1:11" s="69" customFormat="1" ht="13.7" customHeight="1" x14ac:dyDescent="0.2">
      <c r="A84" s="53">
        <v>73</v>
      </c>
      <c r="B84" s="99">
        <v>84</v>
      </c>
      <c r="C84" s="63" t="str">
        <f t="shared" si="12"/>
        <v>BEL19970116</v>
      </c>
      <c r="D84" s="64" t="str">
        <f t="shared" si="13"/>
        <v>PENNINCK Jens</v>
      </c>
      <c r="E84" s="65" t="str">
        <f t="shared" si="14"/>
        <v>VZW TIELTSE RENNERSCLUB - JIELKER GELDHOF</v>
      </c>
      <c r="F84" s="66">
        <f t="shared" si="15"/>
        <v>35143</v>
      </c>
      <c r="G84" s="67" t="str">
        <f t="shared" si="16"/>
        <v>JUNIOR*</v>
      </c>
      <c r="H84" s="67" t="str">
        <f t="shared" si="17"/>
        <v>KOV</v>
      </c>
      <c r="I84" s="224">
        <v>0.42500000000000399</v>
      </c>
      <c r="J84" s="31"/>
      <c r="K84" s="31"/>
    </row>
    <row r="85" spans="1:11" s="69" customFormat="1" ht="13.7" customHeight="1" x14ac:dyDescent="0.2">
      <c r="A85" s="53">
        <v>74</v>
      </c>
      <c r="B85" s="99">
        <v>162</v>
      </c>
      <c r="C85" s="63" t="str">
        <f t="shared" si="12"/>
        <v>RUS19971119</v>
      </c>
      <c r="D85" s="64" t="str">
        <f t="shared" si="13"/>
        <v>NECHAEV Vladislav</v>
      </c>
      <c r="E85" s="65" t="str">
        <f t="shared" si="14"/>
        <v>RUSSIAN CYCLING FEDERATION</v>
      </c>
      <c r="F85" s="66" t="str">
        <f t="shared" si="15"/>
        <v>B0275</v>
      </c>
      <c r="G85" s="67" t="str">
        <f t="shared" si="16"/>
        <v>JUNIOR*</v>
      </c>
      <c r="H85" s="67" t="str">
        <f t="shared" si="17"/>
        <v>RUS</v>
      </c>
      <c r="I85" s="224">
        <v>0.42569444444444798</v>
      </c>
      <c r="J85" s="31"/>
      <c r="K85" s="31"/>
    </row>
    <row r="86" spans="1:11" s="69" customFormat="1" ht="13.7" customHeight="1" x14ac:dyDescent="0.2">
      <c r="A86" s="53">
        <v>75</v>
      </c>
      <c r="B86" s="99">
        <v>62</v>
      </c>
      <c r="C86" s="63" t="str">
        <f t="shared" si="12"/>
        <v>POL19970228</v>
      </c>
      <c r="D86" s="64" t="str">
        <f t="shared" si="13"/>
        <v>SKIBIŃSKI Krzysztof</v>
      </c>
      <c r="E86" s="65" t="str">
        <f t="shared" si="14"/>
        <v xml:space="preserve">DSR AUTHOR GÓRNIK WAŁBRZYCH </v>
      </c>
      <c r="F86" s="66" t="str">
        <f t="shared" si="15"/>
        <v>DLS161</v>
      </c>
      <c r="G86" s="67" t="str">
        <f t="shared" si="16"/>
        <v>JUNIOR*</v>
      </c>
      <c r="H86" s="67" t="str">
        <f t="shared" si="17"/>
        <v>GOR</v>
      </c>
      <c r="I86" s="224">
        <v>0.42638888888889298</v>
      </c>
      <c r="J86" s="31"/>
      <c r="K86" s="31"/>
    </row>
    <row r="87" spans="1:11" s="69" customFormat="1" ht="13.7" customHeight="1" x14ac:dyDescent="0.2">
      <c r="A87" s="53">
        <v>76</v>
      </c>
      <c r="B87" s="99">
        <v>8</v>
      </c>
      <c r="C87" s="63" t="str">
        <f t="shared" si="12"/>
        <v>GER19980416</v>
      </c>
      <c r="D87" s="64" t="str">
        <f t="shared" si="13"/>
        <v>KÄßMANN Fabian</v>
      </c>
      <c r="E87" s="65" t="str">
        <f t="shared" si="14"/>
        <v>1.RSV 1886 GREIZ</v>
      </c>
      <c r="F87" s="66" t="str">
        <f t="shared" si="15"/>
        <v>THÜ173410</v>
      </c>
      <c r="G87" s="67" t="str">
        <f t="shared" si="16"/>
        <v>CADET</v>
      </c>
      <c r="H87" s="67" t="str">
        <f t="shared" si="17"/>
        <v>TUR</v>
      </c>
      <c r="I87" s="224">
        <v>0.42708333333333698</v>
      </c>
      <c r="J87" s="31"/>
      <c r="K87" s="31"/>
    </row>
    <row r="88" spans="1:11" s="69" customFormat="1" ht="13.7" customHeight="1" x14ac:dyDescent="0.2">
      <c r="A88" s="53">
        <v>77</v>
      </c>
      <c r="B88" s="99">
        <v>148</v>
      </c>
      <c r="C88" s="63" t="str">
        <f t="shared" si="12"/>
        <v>CZE19960522</v>
      </c>
      <c r="D88" s="64" t="str">
        <f t="shared" si="13"/>
        <v xml:space="preserve">PUDL Tomáš </v>
      </c>
      <c r="E88" s="65" t="str">
        <f t="shared" si="14"/>
        <v xml:space="preserve">MAPEI CYKLO KAŇKOVSKÝ </v>
      </c>
      <c r="F88" s="66">
        <f t="shared" si="15"/>
        <v>19342</v>
      </c>
      <c r="G88" s="67" t="str">
        <f t="shared" si="16"/>
        <v>JUNIOR</v>
      </c>
      <c r="H88" s="67" t="str">
        <f t="shared" si="17"/>
        <v>MAP</v>
      </c>
      <c r="I88" s="224">
        <v>0.42777777777778198</v>
      </c>
      <c r="J88" s="31"/>
      <c r="K88" s="31"/>
    </row>
    <row r="89" spans="1:11" s="69" customFormat="1" ht="13.7" customHeight="1" x14ac:dyDescent="0.2">
      <c r="A89" s="53">
        <v>78</v>
      </c>
      <c r="B89" s="99">
        <v>57</v>
      </c>
      <c r="C89" s="63" t="str">
        <f t="shared" si="12"/>
        <v>POL19970825</v>
      </c>
      <c r="D89" s="64" t="str">
        <f t="shared" si="13"/>
        <v>GRZEGORZYCA Dominik</v>
      </c>
      <c r="E89" s="65" t="str">
        <f t="shared" si="14"/>
        <v>GRUPA KOLARSKA GLIWICE BA</v>
      </c>
      <c r="F89" s="66" t="str">
        <f t="shared" si="15"/>
        <v>SLA008</v>
      </c>
      <c r="G89" s="67" t="str">
        <f t="shared" si="16"/>
        <v>JUNIOR*</v>
      </c>
      <c r="H89" s="67" t="str">
        <f t="shared" si="17"/>
        <v>GLI</v>
      </c>
      <c r="I89" s="224">
        <v>0.42847222222222597</v>
      </c>
      <c r="J89" s="31"/>
      <c r="K89" s="31"/>
    </row>
    <row r="90" spans="1:11" s="69" customFormat="1" ht="13.7" customHeight="1" x14ac:dyDescent="0.2">
      <c r="A90" s="53">
        <v>79</v>
      </c>
      <c r="B90" s="99">
        <v>123</v>
      </c>
      <c r="C90" s="63" t="str">
        <f t="shared" si="12"/>
        <v>CZE19971015</v>
      </c>
      <c r="D90" s="64" t="str">
        <f t="shared" si="13"/>
        <v xml:space="preserve">STRUPEK Matyáš </v>
      </c>
      <c r="E90" s="65" t="str">
        <f t="shared" si="14"/>
        <v xml:space="preserve">SKC TUFO PROSTĚJOV </v>
      </c>
      <c r="F90" s="66">
        <f t="shared" si="15"/>
        <v>11747</v>
      </c>
      <c r="G90" s="67" t="str">
        <f t="shared" si="16"/>
        <v>JUNIOR*</v>
      </c>
      <c r="H90" s="67" t="str">
        <f t="shared" si="17"/>
        <v>SKC</v>
      </c>
      <c r="I90" s="224">
        <v>0.42916666666667103</v>
      </c>
      <c r="J90" s="31"/>
      <c r="K90" s="31"/>
    </row>
    <row r="91" spans="1:11" s="69" customFormat="1" ht="13.7" customHeight="1" x14ac:dyDescent="0.2">
      <c r="A91" s="53">
        <v>80</v>
      </c>
      <c r="B91" s="99">
        <v>96</v>
      </c>
      <c r="C91" s="63" t="str">
        <f t="shared" si="12"/>
        <v>CZE19960516</v>
      </c>
      <c r="D91" s="64" t="str">
        <f t="shared" si="13"/>
        <v xml:space="preserve">SCHMIDT Vít </v>
      </c>
      <c r="E91" s="65" t="str">
        <f t="shared" si="14"/>
        <v xml:space="preserve">TJ FAVORIT BRNO </v>
      </c>
      <c r="F91" s="66">
        <f t="shared" si="15"/>
        <v>8369</v>
      </c>
      <c r="G91" s="67" t="str">
        <f t="shared" si="16"/>
        <v>JUNIOR</v>
      </c>
      <c r="H91" s="67" t="str">
        <f t="shared" si="17"/>
        <v>FAV</v>
      </c>
      <c r="I91" s="224">
        <v>0.42986111111111502</v>
      </c>
      <c r="J91" s="31"/>
      <c r="K91" s="31"/>
    </row>
    <row r="92" spans="1:11" s="69" customFormat="1" ht="13.7" customHeight="1" x14ac:dyDescent="0.2">
      <c r="A92" s="53">
        <v>81</v>
      </c>
      <c r="B92" s="99">
        <v>17</v>
      </c>
      <c r="C92" s="63" t="str">
        <f t="shared" si="12"/>
        <v>GER19980912</v>
      </c>
      <c r="D92" s="64" t="str">
        <f t="shared" si="13"/>
        <v>CLAUSS Marc</v>
      </c>
      <c r="E92" s="65" t="str">
        <f t="shared" si="14"/>
        <v>JUNIOREN SCHWALBE TEAM SACHSEN</v>
      </c>
      <c r="F92" s="66" t="str">
        <f t="shared" si="15"/>
        <v>SAC 135276</v>
      </c>
      <c r="G92" s="67" t="str">
        <f t="shared" si="16"/>
        <v>CADET</v>
      </c>
      <c r="H92" s="67" t="str">
        <f t="shared" si="17"/>
        <v>SCW</v>
      </c>
      <c r="I92" s="224">
        <v>0.43055555555556002</v>
      </c>
      <c r="J92" s="31"/>
      <c r="K92" s="31"/>
    </row>
    <row r="93" spans="1:11" s="69" customFormat="1" ht="13.7" customHeight="1" x14ac:dyDescent="0.2">
      <c r="A93" s="53">
        <v>82</v>
      </c>
      <c r="B93" s="99">
        <v>63</v>
      </c>
      <c r="C93" s="63" t="str">
        <f t="shared" si="12"/>
        <v>POL19960116</v>
      </c>
      <c r="D93" s="64" t="str">
        <f t="shared" si="13"/>
        <v>GORZAWSKI Kamil</v>
      </c>
      <c r="E93" s="65" t="str">
        <f t="shared" si="14"/>
        <v xml:space="preserve">DSR AUTHOR GÓRNIK WAŁBRZYCH </v>
      </c>
      <c r="F93" s="66" t="str">
        <f t="shared" si="15"/>
        <v>DLS164</v>
      </c>
      <c r="G93" s="67" t="str">
        <f t="shared" si="16"/>
        <v>JUNIOR</v>
      </c>
      <c r="H93" s="67" t="str">
        <f t="shared" si="17"/>
        <v>GOR</v>
      </c>
      <c r="I93" s="224">
        <v>0.43125000000000402</v>
      </c>
      <c r="J93" s="31"/>
      <c r="K93" s="31"/>
    </row>
    <row r="94" spans="1:11" s="69" customFormat="1" ht="13.7" customHeight="1" x14ac:dyDescent="0.2">
      <c r="A94" s="53">
        <v>83</v>
      </c>
      <c r="B94" s="99">
        <v>24</v>
      </c>
      <c r="C94" s="63" t="str">
        <f t="shared" si="12"/>
        <v>GER19980223</v>
      </c>
      <c r="D94" s="64" t="str">
        <f t="shared" si="13"/>
        <v>PLAMBECK Philipp</v>
      </c>
      <c r="E94" s="65" t="str">
        <f t="shared" si="14"/>
        <v>RG BERLIN</v>
      </c>
      <c r="F94" s="66" t="str">
        <f t="shared" si="15"/>
        <v>HAM062726</v>
      </c>
      <c r="G94" s="67" t="str">
        <f t="shared" si="16"/>
        <v>CADET</v>
      </c>
      <c r="H94" s="67" t="str">
        <f t="shared" si="17"/>
        <v>RGB</v>
      </c>
      <c r="I94" s="224">
        <v>0.43194444444444902</v>
      </c>
      <c r="J94" s="31"/>
      <c r="K94" s="31"/>
    </row>
    <row r="95" spans="1:11" s="69" customFormat="1" ht="13.7" customHeight="1" x14ac:dyDescent="0.2">
      <c r="A95" s="53">
        <v>84</v>
      </c>
      <c r="B95" s="99">
        <v>163</v>
      </c>
      <c r="C95" s="63" t="str">
        <f t="shared" si="12"/>
        <v>RUS19970527</v>
      </c>
      <c r="D95" s="64" t="str">
        <f t="shared" si="13"/>
        <v>PLAKUSHKIN Sergey</v>
      </c>
      <c r="E95" s="65" t="str">
        <f t="shared" si="14"/>
        <v>RUSSIAN CYCLING FEDERATION</v>
      </c>
      <c r="F95" s="66" t="str">
        <f t="shared" si="15"/>
        <v>B0277</v>
      </c>
      <c r="G95" s="67" t="str">
        <f t="shared" si="16"/>
        <v>JUNIOR*</v>
      </c>
      <c r="H95" s="67" t="str">
        <f t="shared" si="17"/>
        <v>RUS</v>
      </c>
      <c r="I95" s="224">
        <v>0.43263888888889301</v>
      </c>
      <c r="J95" s="31"/>
      <c r="K95" s="31"/>
    </row>
    <row r="96" spans="1:11" s="69" customFormat="1" ht="13.7" customHeight="1" x14ac:dyDescent="0.2">
      <c r="A96" s="53">
        <v>85</v>
      </c>
      <c r="B96" s="99">
        <v>49</v>
      </c>
      <c r="C96" s="63" t="str">
        <f t="shared" si="12"/>
        <v>CZE19960703</v>
      </c>
      <c r="D96" s="64" t="str">
        <f t="shared" si="13"/>
        <v xml:space="preserve">ŠÍREK Adrian </v>
      </c>
      <c r="E96" s="65" t="str">
        <f t="shared" si="14"/>
        <v>KC KOOPERATIVA SG JABLONEC N.N</v>
      </c>
      <c r="F96" s="66">
        <f t="shared" si="15"/>
        <v>12955</v>
      </c>
      <c r="G96" s="67" t="str">
        <f t="shared" si="16"/>
        <v>JUNIOR</v>
      </c>
      <c r="H96" s="67" t="str">
        <f t="shared" si="17"/>
        <v>KOO</v>
      </c>
      <c r="I96" s="224">
        <v>0.43333333333333801</v>
      </c>
      <c r="J96" s="31"/>
      <c r="K96" s="31"/>
    </row>
    <row r="97" spans="1:11" s="69" customFormat="1" ht="13.7" customHeight="1" x14ac:dyDescent="0.2">
      <c r="A97" s="53">
        <v>86</v>
      </c>
      <c r="B97" s="99">
        <v>48</v>
      </c>
      <c r="C97" s="63" t="str">
        <f t="shared" si="12"/>
        <v>CZE19981009</v>
      </c>
      <c r="D97" s="64" t="str">
        <f t="shared" si="13"/>
        <v xml:space="preserve">SIRŮČEK Václav </v>
      </c>
      <c r="E97" s="65" t="str">
        <f t="shared" si="14"/>
        <v>KC KOOPERATIVA SG JABLONEC N.N</v>
      </c>
      <c r="F97" s="66">
        <f t="shared" si="15"/>
        <v>8749</v>
      </c>
      <c r="G97" s="67" t="str">
        <f t="shared" si="16"/>
        <v>CADET</v>
      </c>
      <c r="H97" s="67" t="str">
        <f t="shared" si="17"/>
        <v>KOO</v>
      </c>
      <c r="I97" s="224">
        <v>0.43402777777778201</v>
      </c>
      <c r="J97" s="31"/>
      <c r="K97" s="31"/>
    </row>
    <row r="98" spans="1:11" s="69" customFormat="1" ht="13.7" customHeight="1" x14ac:dyDescent="0.2">
      <c r="A98" s="53">
        <v>87</v>
      </c>
      <c r="B98" s="99">
        <v>22</v>
      </c>
      <c r="C98" s="63" t="str">
        <f t="shared" si="12"/>
        <v>GER19980505</v>
      </c>
      <c r="D98" s="64" t="str">
        <f t="shared" si="13"/>
        <v>HAUPT Tarik</v>
      </c>
      <c r="E98" s="65" t="str">
        <f t="shared" si="14"/>
        <v>RG BERLIN</v>
      </c>
      <c r="F98" s="66" t="str">
        <f t="shared" si="15"/>
        <v>BER 032308</v>
      </c>
      <c r="G98" s="67" t="str">
        <f t="shared" si="16"/>
        <v>CADET</v>
      </c>
      <c r="H98" s="67" t="str">
        <f t="shared" si="17"/>
        <v>RGB</v>
      </c>
      <c r="I98" s="224">
        <v>0.43472222222222701</v>
      </c>
      <c r="J98" s="31"/>
      <c r="K98" s="31"/>
    </row>
    <row r="99" spans="1:11" s="69" customFormat="1" ht="13.7" customHeight="1" x14ac:dyDescent="0.2">
      <c r="A99" s="53">
        <v>88</v>
      </c>
      <c r="B99" s="99">
        <v>34</v>
      </c>
      <c r="C99" s="63" t="str">
        <f t="shared" si="12"/>
        <v>CZE19960513</v>
      </c>
      <c r="D99" s="64" t="str">
        <f t="shared" si="13"/>
        <v xml:space="preserve">SCHUBERT Štěpán </v>
      </c>
      <c r="E99" s="65" t="str">
        <f t="shared" si="14"/>
        <v xml:space="preserve">REMERX MERIDA TEAM JUNIOR </v>
      </c>
      <c r="F99" s="66">
        <f t="shared" si="15"/>
        <v>19574</v>
      </c>
      <c r="G99" s="67" t="str">
        <f t="shared" si="16"/>
        <v>JUNIOR</v>
      </c>
      <c r="H99" s="67" t="str">
        <f t="shared" si="17"/>
        <v>REM</v>
      </c>
      <c r="I99" s="224">
        <v>0.435416666666671</v>
      </c>
      <c r="J99" s="31"/>
      <c r="K99" s="31"/>
    </row>
    <row r="100" spans="1:11" s="69" customFormat="1" ht="13.7" customHeight="1" x14ac:dyDescent="0.2">
      <c r="A100" s="53">
        <v>89</v>
      </c>
      <c r="B100" s="99">
        <v>3</v>
      </c>
      <c r="C100" s="63" t="str">
        <f t="shared" si="12"/>
        <v>GER19970102</v>
      </c>
      <c r="D100" s="64" t="str">
        <f t="shared" si="13"/>
        <v>ZEISE Paul</v>
      </c>
      <c r="E100" s="65" t="str">
        <f t="shared" si="14"/>
        <v>RSC TURBINE ERFURT</v>
      </c>
      <c r="F100" s="66" t="str">
        <f t="shared" si="15"/>
        <v>THÜ173430</v>
      </c>
      <c r="G100" s="67" t="str">
        <f t="shared" si="16"/>
        <v>JUNIOR*</v>
      </c>
      <c r="H100" s="67" t="str">
        <f t="shared" si="17"/>
        <v>TUR</v>
      </c>
      <c r="I100" s="224">
        <v>0.436111111111116</v>
      </c>
      <c r="J100" s="31"/>
      <c r="K100" s="31"/>
    </row>
    <row r="101" spans="1:11" s="69" customFormat="1" ht="13.7" customHeight="1" x14ac:dyDescent="0.2">
      <c r="A101" s="53">
        <v>90</v>
      </c>
      <c r="B101" s="99">
        <v>166</v>
      </c>
      <c r="C101" s="63" t="str">
        <f t="shared" si="12"/>
        <v>RUS19960101</v>
      </c>
      <c r="D101" s="64" t="str">
        <f t="shared" si="13"/>
        <v xml:space="preserve">BEZDENEZHNYKH Vadim </v>
      </c>
      <c r="E101" s="65" t="str">
        <f t="shared" si="14"/>
        <v>RUSSIAN CYCLING FEDERATION</v>
      </c>
      <c r="F101" s="66" t="str">
        <f t="shared" si="15"/>
        <v>B0271</v>
      </c>
      <c r="G101" s="67" t="str">
        <f t="shared" si="16"/>
        <v>JUNIOR</v>
      </c>
      <c r="H101" s="67" t="str">
        <f t="shared" si="17"/>
        <v>RUS</v>
      </c>
      <c r="I101" s="224">
        <v>0.43680555555556</v>
      </c>
      <c r="J101" s="31"/>
      <c r="K101" s="31"/>
    </row>
    <row r="102" spans="1:11" s="69" customFormat="1" ht="13.7" customHeight="1" x14ac:dyDescent="0.2">
      <c r="A102" s="53">
        <v>91</v>
      </c>
      <c r="B102" s="99">
        <v>173</v>
      </c>
      <c r="C102" s="63" t="str">
        <f t="shared" si="12"/>
        <v>SVK19970117</v>
      </c>
      <c r="D102" s="64" t="str">
        <f t="shared" si="13"/>
        <v>PORUBAN Dominik</v>
      </c>
      <c r="E102" s="65" t="str">
        <f t="shared" si="14"/>
        <v xml:space="preserve">SLOVAK CYCLING FEDERATION </v>
      </c>
      <c r="F102" s="66">
        <f t="shared" si="15"/>
        <v>6477</v>
      </c>
      <c r="G102" s="67" t="str">
        <f t="shared" si="16"/>
        <v>JUNIOR*</v>
      </c>
      <c r="H102" s="67" t="str">
        <f t="shared" si="17"/>
        <v>SVK</v>
      </c>
      <c r="I102" s="224">
        <v>0.437500000000005</v>
      </c>
      <c r="J102" s="31"/>
      <c r="K102" s="31"/>
    </row>
    <row r="103" spans="1:11" s="69" customFormat="1" ht="13.7" customHeight="1" x14ac:dyDescent="0.2">
      <c r="A103" s="53">
        <v>92</v>
      </c>
      <c r="B103" s="99">
        <v>185</v>
      </c>
      <c r="C103" s="63" t="str">
        <f t="shared" si="12"/>
        <v>AUT19960302</v>
      </c>
      <c r="D103" s="64" t="str">
        <f t="shared" si="13"/>
        <v>TAFERNER Stefan</v>
      </c>
      <c r="E103" s="65" t="str">
        <f t="shared" si="14"/>
        <v xml:space="preserve">LRV STEIERMARK </v>
      </c>
      <c r="F103" s="66">
        <f t="shared" si="15"/>
        <v>100831</v>
      </c>
      <c r="G103" s="67" t="str">
        <f t="shared" si="16"/>
        <v>JUNIOR</v>
      </c>
      <c r="H103" s="67" t="str">
        <f t="shared" si="17"/>
        <v>LRV</v>
      </c>
      <c r="I103" s="224">
        <v>0.43819444444444899</v>
      </c>
      <c r="J103" s="31"/>
      <c r="K103" s="31"/>
    </row>
    <row r="104" spans="1:11" s="69" customFormat="1" ht="13.7" customHeight="1" x14ac:dyDescent="0.2">
      <c r="A104" s="53">
        <v>93</v>
      </c>
      <c r="B104" s="99">
        <v>106</v>
      </c>
      <c r="C104" s="63" t="str">
        <f t="shared" si="12"/>
        <v>CZE19970109</v>
      </c>
      <c r="D104" s="64" t="str">
        <f t="shared" si="13"/>
        <v xml:space="preserve">SVATEK Miroslav </v>
      </c>
      <c r="E104" s="65" t="str">
        <f t="shared" si="14"/>
        <v xml:space="preserve">PROFI SPORT CHEB </v>
      </c>
      <c r="F104" s="66">
        <f t="shared" si="15"/>
        <v>9623</v>
      </c>
      <c r="G104" s="67" t="str">
        <f t="shared" si="16"/>
        <v>JUNIOR*</v>
      </c>
      <c r="H104" s="67" t="str">
        <f t="shared" si="17"/>
        <v>LOU</v>
      </c>
      <c r="I104" s="224">
        <v>0.43888888888889399</v>
      </c>
      <c r="J104" s="31"/>
      <c r="K104" s="31"/>
    </row>
    <row r="105" spans="1:11" s="69" customFormat="1" ht="13.7" customHeight="1" x14ac:dyDescent="0.2">
      <c r="A105" s="53">
        <v>94</v>
      </c>
      <c r="B105" s="99">
        <v>171</v>
      </c>
      <c r="C105" s="63" t="str">
        <f t="shared" si="12"/>
        <v>SVK19970301</v>
      </c>
      <c r="D105" s="64" t="str">
        <f t="shared" si="13"/>
        <v>KNIHA Ladislav</v>
      </c>
      <c r="E105" s="65" t="str">
        <f t="shared" si="14"/>
        <v xml:space="preserve">SLOVAK CYCLING FEDERATION </v>
      </c>
      <c r="F105" s="66">
        <f t="shared" si="15"/>
        <v>6788</v>
      </c>
      <c r="G105" s="67" t="str">
        <f t="shared" si="16"/>
        <v>JUNIOR*</v>
      </c>
      <c r="H105" s="67" t="str">
        <f t="shared" si="17"/>
        <v>SVK</v>
      </c>
      <c r="I105" s="224">
        <v>0.43958333333333799</v>
      </c>
      <c r="J105" s="31"/>
      <c r="K105" s="31"/>
    </row>
    <row r="106" spans="1:11" s="69" customFormat="1" ht="13.7" customHeight="1" x14ac:dyDescent="0.2">
      <c r="A106" s="53">
        <v>95</v>
      </c>
      <c r="B106" s="99">
        <v>124</v>
      </c>
      <c r="C106" s="63" t="str">
        <f t="shared" si="12"/>
        <v>CZE19970613</v>
      </c>
      <c r="D106" s="64" t="str">
        <f t="shared" si="13"/>
        <v xml:space="preserve">ŠÁNA Jiří </v>
      </c>
      <c r="E106" s="65" t="str">
        <f t="shared" si="14"/>
        <v xml:space="preserve">SKC TUFO PROSTĚJOV </v>
      </c>
      <c r="F106" s="66">
        <f t="shared" si="15"/>
        <v>8743</v>
      </c>
      <c r="G106" s="67" t="str">
        <f t="shared" si="16"/>
        <v>JUNIOR*</v>
      </c>
      <c r="H106" s="67" t="str">
        <f t="shared" si="17"/>
        <v>SKC</v>
      </c>
      <c r="I106" s="224">
        <v>0.44027777777778299</v>
      </c>
      <c r="J106" s="31"/>
      <c r="K106" s="31"/>
    </row>
    <row r="107" spans="1:11" s="69" customFormat="1" ht="13.7" customHeight="1" x14ac:dyDescent="0.2">
      <c r="A107" s="53">
        <v>96</v>
      </c>
      <c r="B107" s="99">
        <v>101</v>
      </c>
      <c r="C107" s="63" t="str">
        <f t="shared" si="12"/>
        <v>CZE19970829</v>
      </c>
      <c r="D107" s="64" t="str">
        <f t="shared" si="13"/>
        <v xml:space="preserve">BAŘTIPÁN Josef </v>
      </c>
      <c r="E107" s="65" t="str">
        <f t="shared" si="14"/>
        <v xml:space="preserve">TJ STADION LOUNY </v>
      </c>
      <c r="F107" s="66">
        <f t="shared" si="15"/>
        <v>9818</v>
      </c>
      <c r="G107" s="67" t="str">
        <f t="shared" si="16"/>
        <v>JUNIOR*</v>
      </c>
      <c r="H107" s="67" t="str">
        <f t="shared" si="17"/>
        <v>LOU</v>
      </c>
      <c r="I107" s="224">
        <v>0.44097222222222698</v>
      </c>
      <c r="J107" s="31"/>
      <c r="K107" s="31"/>
    </row>
    <row r="108" spans="1:11" s="69" customFormat="1" ht="13.7" customHeight="1" x14ac:dyDescent="0.2">
      <c r="A108" s="53">
        <v>97</v>
      </c>
      <c r="B108" s="99">
        <v>5</v>
      </c>
      <c r="C108" s="63" t="str">
        <f t="shared" ref="C108:C129" si="18">VLOOKUP(B108,STARTOVKA,2,0)</f>
        <v>GER19960418</v>
      </c>
      <c r="D108" s="64" t="str">
        <f t="shared" ref="D108:D129" si="19">VLOOKUP(B108,STARTOVKA,3,0)</f>
        <v>JÄGELER Robert</v>
      </c>
      <c r="E108" s="65" t="str">
        <f t="shared" ref="E108:E129" si="20">VLOOKUP(B108,STARTOVKA,4,0)</f>
        <v>RV ELXLEBEN</v>
      </c>
      <c r="F108" s="66" t="str">
        <f t="shared" ref="F108:F129" si="21">VLOOKUP(B108,STARTOVKA,5,0)</f>
        <v>THÜ172211</v>
      </c>
      <c r="G108" s="67" t="str">
        <f t="shared" ref="G108:G129" si="22">VLOOKUP(B108,STARTOVKA,6,0)</f>
        <v>JUNIOR</v>
      </c>
      <c r="H108" s="67" t="str">
        <f t="shared" ref="H108:H129" si="23">VLOOKUP(B108,STARTOVKA,7,0)</f>
        <v>TUR</v>
      </c>
      <c r="I108" s="224">
        <v>0.44166666666667198</v>
      </c>
      <c r="J108" s="31"/>
      <c r="K108" s="31"/>
    </row>
    <row r="109" spans="1:11" s="69" customFormat="1" ht="13.7" customHeight="1" x14ac:dyDescent="0.2">
      <c r="A109" s="53">
        <v>98</v>
      </c>
      <c r="B109" s="99">
        <v>161</v>
      </c>
      <c r="C109" s="63" t="str">
        <f t="shared" si="18"/>
        <v>RUS19970210</v>
      </c>
      <c r="D109" s="64" t="str">
        <f t="shared" si="19"/>
        <v>GRISHIN Maksim</v>
      </c>
      <c r="E109" s="65" t="str">
        <f t="shared" si="20"/>
        <v>RUSSIAN CYCLING FEDERATION</v>
      </c>
      <c r="F109" s="66" t="str">
        <f t="shared" si="21"/>
        <v>B0280</v>
      </c>
      <c r="G109" s="67" t="str">
        <f t="shared" si="22"/>
        <v>JUNIOR*</v>
      </c>
      <c r="H109" s="67" t="str">
        <f t="shared" si="23"/>
        <v>RUS</v>
      </c>
      <c r="I109" s="224">
        <v>0.44236111111111598</v>
      </c>
      <c r="J109" s="31"/>
      <c r="K109" s="31"/>
    </row>
    <row r="110" spans="1:11" s="69" customFormat="1" ht="13.7" customHeight="1" x14ac:dyDescent="0.2">
      <c r="A110" s="53">
        <v>99</v>
      </c>
      <c r="B110" s="99">
        <v>147</v>
      </c>
      <c r="C110" s="63" t="str">
        <f t="shared" si="18"/>
        <v>CZE19960618</v>
      </c>
      <c r="D110" s="64" t="str">
        <f t="shared" si="19"/>
        <v xml:space="preserve">PETRUŠ Jiří </v>
      </c>
      <c r="E110" s="65" t="str">
        <f t="shared" si="20"/>
        <v xml:space="preserve">MAPEI CYKLO KAŇKOVSKÝ </v>
      </c>
      <c r="F110" s="66">
        <f t="shared" si="21"/>
        <v>12841</v>
      </c>
      <c r="G110" s="67" t="str">
        <f t="shared" si="22"/>
        <v>JUNIOR</v>
      </c>
      <c r="H110" s="67" t="str">
        <f t="shared" si="23"/>
        <v>MAP</v>
      </c>
      <c r="I110" s="224">
        <v>0.44305555555556098</v>
      </c>
      <c r="J110" s="31"/>
      <c r="K110" s="31"/>
    </row>
    <row r="111" spans="1:11" s="69" customFormat="1" ht="13.7" customHeight="1" x14ac:dyDescent="0.2">
      <c r="A111" s="53">
        <v>100</v>
      </c>
      <c r="B111" s="99">
        <v>85</v>
      </c>
      <c r="C111" s="63" t="str">
        <f t="shared" si="18"/>
        <v>CZE19970804</v>
      </c>
      <c r="D111" s="64" t="str">
        <f t="shared" si="19"/>
        <v xml:space="preserve">SPUDIL Martin </v>
      </c>
      <c r="E111" s="65" t="str">
        <f t="shared" si="20"/>
        <v xml:space="preserve">SP KOLO LOAP SPECIALIZED </v>
      </c>
      <c r="F111" s="66">
        <f t="shared" si="21"/>
        <v>10880</v>
      </c>
      <c r="G111" s="67" t="str">
        <f t="shared" si="22"/>
        <v>JUNIOR*</v>
      </c>
      <c r="H111" s="67" t="str">
        <f t="shared" si="23"/>
        <v>KOV</v>
      </c>
      <c r="I111" s="224">
        <v>0.44375000000000497</v>
      </c>
      <c r="J111" s="31"/>
      <c r="K111" s="31"/>
    </row>
    <row r="112" spans="1:11" s="69" customFormat="1" ht="13.7" customHeight="1" x14ac:dyDescent="0.2">
      <c r="A112" s="53">
        <v>101</v>
      </c>
      <c r="B112" s="99">
        <v>7</v>
      </c>
      <c r="C112" s="63" t="str">
        <f t="shared" si="18"/>
        <v>GER19970419</v>
      </c>
      <c r="D112" s="64" t="str">
        <f t="shared" si="19"/>
        <v>BURCHARDT Karl</v>
      </c>
      <c r="E112" s="65" t="str">
        <f t="shared" si="20"/>
        <v>RSC TURBINE ERFURT</v>
      </c>
      <c r="F112" s="66" t="str">
        <f t="shared" si="21"/>
        <v>THÜ173418</v>
      </c>
      <c r="G112" s="67" t="str">
        <f t="shared" si="22"/>
        <v>JUNIOR*</v>
      </c>
      <c r="H112" s="67" t="str">
        <f t="shared" si="23"/>
        <v>TUR</v>
      </c>
      <c r="I112" s="224">
        <v>0.44444444444445003</v>
      </c>
      <c r="J112" s="31"/>
      <c r="K112" s="31"/>
    </row>
    <row r="113" spans="1:11" s="69" customFormat="1" ht="13.7" customHeight="1" x14ac:dyDescent="0.2">
      <c r="A113" s="53">
        <v>102</v>
      </c>
      <c r="B113" s="99">
        <v>137</v>
      </c>
      <c r="C113" s="63" t="str">
        <f t="shared" si="18"/>
        <v>AUT19960713</v>
      </c>
      <c r="D113" s="64" t="str">
        <f t="shared" si="19"/>
        <v>PÖPPL Tobias</v>
      </c>
      <c r="E113" s="65" t="str">
        <f t="shared" si="20"/>
        <v>RC WALDING</v>
      </c>
      <c r="F113" s="66">
        <f t="shared" si="21"/>
        <v>100289</v>
      </c>
      <c r="G113" s="67" t="str">
        <f t="shared" si="22"/>
        <v>JUNIOR</v>
      </c>
      <c r="H113" s="67" t="str">
        <f t="shared" si="23"/>
        <v>RCA</v>
      </c>
      <c r="I113" s="224">
        <v>0.44513888888889402</v>
      </c>
      <c r="J113" s="31"/>
      <c r="K113" s="31"/>
    </row>
    <row r="114" spans="1:11" s="69" customFormat="1" ht="13.7" customHeight="1" x14ac:dyDescent="0.2">
      <c r="A114" s="53">
        <v>103</v>
      </c>
      <c r="B114" s="99">
        <v>165</v>
      </c>
      <c r="C114" s="63" t="str">
        <f t="shared" si="18"/>
        <v>RUS19960517</v>
      </c>
      <c r="D114" s="64" t="str">
        <f t="shared" si="19"/>
        <v xml:space="preserve">MARTYSHEV Aleksandr </v>
      </c>
      <c r="E114" s="65" t="str">
        <f t="shared" si="20"/>
        <v>RUSSIAN CYCLING FEDERATION</v>
      </c>
      <c r="F114" s="66" t="str">
        <f t="shared" si="21"/>
        <v>B0270</v>
      </c>
      <c r="G114" s="67" t="str">
        <f t="shared" si="22"/>
        <v>JUNIOR</v>
      </c>
      <c r="H114" s="67" t="str">
        <f t="shared" si="23"/>
        <v>RUS</v>
      </c>
      <c r="I114" s="224">
        <v>0.44583333333333902</v>
      </c>
      <c r="J114" s="31"/>
      <c r="K114" s="31"/>
    </row>
    <row r="115" spans="1:11" s="69" customFormat="1" ht="13.7" customHeight="1" x14ac:dyDescent="0.2">
      <c r="A115" s="53">
        <v>104</v>
      </c>
      <c r="B115" s="99">
        <v>83</v>
      </c>
      <c r="C115" s="63" t="str">
        <f t="shared" si="18"/>
        <v>CZE19960724</v>
      </c>
      <c r="D115" s="64" t="str">
        <f t="shared" si="19"/>
        <v xml:space="preserve">BECHYNĚ Matěj </v>
      </c>
      <c r="E115" s="65" t="str">
        <f t="shared" si="20"/>
        <v>VZW TIELTSE RENNERSCLUB - JIELKER GELDHOF</v>
      </c>
      <c r="F115" s="66">
        <f t="shared" si="21"/>
        <v>14315</v>
      </c>
      <c r="G115" s="67" t="str">
        <f t="shared" si="22"/>
        <v>JUNIOR</v>
      </c>
      <c r="H115" s="67" t="str">
        <f t="shared" si="23"/>
        <v>KOV</v>
      </c>
      <c r="I115" s="224">
        <v>0.44652777777778302</v>
      </c>
      <c r="J115" s="31"/>
      <c r="K115" s="31"/>
    </row>
    <row r="116" spans="1:11" s="69" customFormat="1" ht="13.7" customHeight="1" x14ac:dyDescent="0.2">
      <c r="A116" s="53">
        <v>105</v>
      </c>
      <c r="B116" s="99">
        <v>117</v>
      </c>
      <c r="C116" s="63" t="str">
        <f t="shared" si="18"/>
        <v>GER19971022</v>
      </c>
      <c r="D116" s="64" t="str">
        <f t="shared" si="19"/>
        <v>KANTER Max</v>
      </c>
      <c r="E116" s="65" t="str">
        <f t="shared" si="20"/>
        <v>TEAM BRANDENBURG - RSC COTTBUS</v>
      </c>
      <c r="F116" s="66" t="str">
        <f t="shared" si="21"/>
        <v>044005-11</v>
      </c>
      <c r="G116" s="67" t="str">
        <f t="shared" si="22"/>
        <v>JUNIOR*</v>
      </c>
      <c r="H116" s="67" t="str">
        <f t="shared" si="23"/>
        <v>COT</v>
      </c>
      <c r="I116" s="224">
        <v>0.44722222222222802</v>
      </c>
      <c r="J116" s="31"/>
      <c r="K116" s="31"/>
    </row>
    <row r="117" spans="1:11" s="69" customFormat="1" ht="13.7" customHeight="1" x14ac:dyDescent="0.2">
      <c r="A117" s="53">
        <v>106</v>
      </c>
      <c r="B117" s="99">
        <v>182</v>
      </c>
      <c r="C117" s="63" t="str">
        <f t="shared" si="18"/>
        <v>AUT19960709</v>
      </c>
      <c r="D117" s="64" t="str">
        <f t="shared" si="19"/>
        <v>KOPFAUF Markus</v>
      </c>
      <c r="E117" s="65" t="str">
        <f t="shared" si="20"/>
        <v xml:space="preserve">LRV STEIERMARK </v>
      </c>
      <c r="F117" s="66">
        <f t="shared" si="21"/>
        <v>100827</v>
      </c>
      <c r="G117" s="67" t="str">
        <f t="shared" si="22"/>
        <v>JUNIOR</v>
      </c>
      <c r="H117" s="67" t="str">
        <f t="shared" si="23"/>
        <v>LRV</v>
      </c>
      <c r="I117" s="224">
        <v>0.44791666666667201</v>
      </c>
      <c r="J117" s="31"/>
      <c r="K117" s="31"/>
    </row>
    <row r="118" spans="1:11" s="69" customFormat="1" ht="13.7" customHeight="1" x14ac:dyDescent="0.2">
      <c r="A118" s="53">
        <v>107</v>
      </c>
      <c r="B118" s="99">
        <v>111</v>
      </c>
      <c r="C118" s="63" t="str">
        <f t="shared" si="18"/>
        <v>GER19960410</v>
      </c>
      <c r="D118" s="64" t="str">
        <f t="shared" si="19"/>
        <v>BECKER Alexander</v>
      </c>
      <c r="E118" s="65" t="str">
        <f t="shared" si="20"/>
        <v>TEAM BRANDENBURG - RSC COTTBUS</v>
      </c>
      <c r="F118" s="66" t="str">
        <f t="shared" si="21"/>
        <v>042439-11</v>
      </c>
      <c r="G118" s="67" t="str">
        <f t="shared" si="22"/>
        <v>JUNIOR</v>
      </c>
      <c r="H118" s="67" t="str">
        <f t="shared" si="23"/>
        <v>COT</v>
      </c>
      <c r="I118" s="224">
        <v>0.44861111111111701</v>
      </c>
      <c r="J118" s="31"/>
      <c r="K118" s="31"/>
    </row>
    <row r="119" spans="1:11" s="69" customFormat="1" ht="13.7" customHeight="1" x14ac:dyDescent="0.2">
      <c r="A119" s="53">
        <v>108</v>
      </c>
      <c r="B119" s="99">
        <v>113</v>
      </c>
      <c r="C119" s="63" t="str">
        <f t="shared" si="18"/>
        <v>GER19961002</v>
      </c>
      <c r="D119" s="64" t="str">
        <f t="shared" si="19"/>
        <v>ROHDE Louis</v>
      </c>
      <c r="E119" s="65" t="str">
        <f t="shared" si="20"/>
        <v>TEAM BRANDENBURG - RSC COTTBUS</v>
      </c>
      <c r="F119" s="66" t="str">
        <f t="shared" si="21"/>
        <v>062094-11</v>
      </c>
      <c r="G119" s="67" t="str">
        <f t="shared" si="22"/>
        <v>JUNIOR</v>
      </c>
      <c r="H119" s="67" t="str">
        <f t="shared" si="23"/>
        <v>COT</v>
      </c>
      <c r="I119" s="224">
        <v>0.44930555555556101</v>
      </c>
      <c r="J119" s="31"/>
      <c r="K119" s="31"/>
    </row>
    <row r="120" spans="1:11" s="69" customFormat="1" ht="13.7" customHeight="1" x14ac:dyDescent="0.2">
      <c r="A120" s="53">
        <v>109</v>
      </c>
      <c r="B120" s="99">
        <v>12</v>
      </c>
      <c r="C120" s="63" t="str">
        <f t="shared" si="18"/>
        <v>GER19960405</v>
      </c>
      <c r="D120" s="64" t="str">
        <f t="shared" si="19"/>
        <v>WITTE Reinhard</v>
      </c>
      <c r="E120" s="65" t="str">
        <f t="shared" si="20"/>
        <v>JUNIOREN SCHWALBE TEAM SACHSEN</v>
      </c>
      <c r="F120" s="66" t="str">
        <f t="shared" si="21"/>
        <v>SAC 141671</v>
      </c>
      <c r="G120" s="67" t="str">
        <f t="shared" si="22"/>
        <v>JUNIOR</v>
      </c>
      <c r="H120" s="67" t="str">
        <f t="shared" si="23"/>
        <v>SCW</v>
      </c>
      <c r="I120" s="224">
        <v>0.45000000000000601</v>
      </c>
      <c r="J120" s="31"/>
      <c r="K120" s="31"/>
    </row>
    <row r="121" spans="1:11" s="69" customFormat="1" ht="13.7" customHeight="1" x14ac:dyDescent="0.2">
      <c r="A121" s="53">
        <v>110</v>
      </c>
      <c r="B121" s="99">
        <v>151</v>
      </c>
      <c r="C121" s="63" t="str">
        <f t="shared" si="18"/>
        <v>CZE19960501</v>
      </c>
      <c r="D121" s="64" t="str">
        <f t="shared" si="19"/>
        <v>TOMAN Vojtěch</v>
      </c>
      <c r="E121" s="65" t="str">
        <f t="shared" si="20"/>
        <v>STEVENS ZNOJMO</v>
      </c>
      <c r="F121" s="66">
        <f t="shared" si="21"/>
        <v>9096</v>
      </c>
      <c r="G121" s="67" t="str">
        <f t="shared" si="22"/>
        <v>JUNIOR</v>
      </c>
      <c r="H121" s="67" t="str">
        <f t="shared" si="23"/>
        <v>SKC</v>
      </c>
      <c r="I121" s="224">
        <v>0.45069444444445</v>
      </c>
      <c r="J121" s="31"/>
      <c r="K121" s="31"/>
    </row>
    <row r="122" spans="1:11" s="69" customFormat="1" ht="13.7" customHeight="1" x14ac:dyDescent="0.2">
      <c r="A122" s="53">
        <v>111</v>
      </c>
      <c r="B122" s="99">
        <v>115</v>
      </c>
      <c r="C122" s="63" t="str">
        <f t="shared" si="18"/>
        <v>GER19961029</v>
      </c>
      <c r="D122" s="64" t="str">
        <f t="shared" si="19"/>
        <v>KOCH Chrisitan</v>
      </c>
      <c r="E122" s="65" t="str">
        <f t="shared" si="20"/>
        <v>TEAM BRANDENBURG - RSC COTTBUS</v>
      </c>
      <c r="F122" s="66" t="str">
        <f t="shared" si="21"/>
        <v>043833-11</v>
      </c>
      <c r="G122" s="67" t="str">
        <f t="shared" si="22"/>
        <v>JUNIOR</v>
      </c>
      <c r="H122" s="67" t="str">
        <f t="shared" si="23"/>
        <v>COT</v>
      </c>
      <c r="I122" s="224">
        <v>0.451388888888895</v>
      </c>
      <c r="J122" s="31"/>
      <c r="K122" s="31"/>
    </row>
    <row r="123" spans="1:11" s="69" customFormat="1" ht="13.7" customHeight="1" x14ac:dyDescent="0.2">
      <c r="A123" s="53">
        <v>112</v>
      </c>
      <c r="B123" s="99">
        <v>150</v>
      </c>
      <c r="C123" s="63" t="str">
        <f t="shared" si="18"/>
        <v>CZE19970926</v>
      </c>
      <c r="D123" s="64" t="str">
        <f t="shared" si="19"/>
        <v xml:space="preserve">BRÁZDA Michal </v>
      </c>
      <c r="E123" s="65" t="str">
        <f t="shared" si="20"/>
        <v xml:space="preserve">MAPEI CYKLO KAŇKOVSKÝ </v>
      </c>
      <c r="F123" s="66">
        <f t="shared" si="21"/>
        <v>8547</v>
      </c>
      <c r="G123" s="67" t="str">
        <f t="shared" si="22"/>
        <v>JUNIOR*</v>
      </c>
      <c r="H123" s="67" t="str">
        <f t="shared" si="23"/>
        <v>MAP</v>
      </c>
      <c r="I123" s="224">
        <v>0.452083333333339</v>
      </c>
      <c r="J123" s="31"/>
      <c r="K123" s="31"/>
    </row>
    <row r="124" spans="1:11" s="69" customFormat="1" ht="13.7" customHeight="1" x14ac:dyDescent="0.2">
      <c r="A124" s="53">
        <v>113</v>
      </c>
      <c r="B124" s="99">
        <v>132</v>
      </c>
      <c r="C124" s="63" t="str">
        <f t="shared" si="18"/>
        <v>AUT19961021</v>
      </c>
      <c r="D124" s="64" t="str">
        <f t="shared" si="19"/>
        <v>KNAPP Daniel</v>
      </c>
      <c r="E124" s="65" t="str">
        <f t="shared" si="20"/>
        <v>UNION RAIFFEISEN RADTEAM TIROL</v>
      </c>
      <c r="F124" s="66">
        <f t="shared" si="21"/>
        <v>100480</v>
      </c>
      <c r="G124" s="67" t="str">
        <f t="shared" si="22"/>
        <v>JUNIOR</v>
      </c>
      <c r="H124" s="67" t="str">
        <f t="shared" si="23"/>
        <v>RCA</v>
      </c>
      <c r="I124" s="224">
        <v>0.452777777777784</v>
      </c>
      <c r="J124" s="31"/>
      <c r="K124" s="31"/>
    </row>
    <row r="125" spans="1:11" s="69" customFormat="1" ht="13.7" customHeight="1" x14ac:dyDescent="0.2">
      <c r="A125" s="53">
        <v>114</v>
      </c>
      <c r="B125" s="99">
        <v>175</v>
      </c>
      <c r="C125" s="63" t="str">
        <f t="shared" si="18"/>
        <v>SVK19960415</v>
      </c>
      <c r="D125" s="64" t="str">
        <f t="shared" si="19"/>
        <v>ZVERKO David</v>
      </c>
      <c r="E125" s="65" t="str">
        <f t="shared" si="20"/>
        <v xml:space="preserve">SLOVAK CYCLING FEDERATION </v>
      </c>
      <c r="F125" s="66">
        <f t="shared" si="21"/>
        <v>5674</v>
      </c>
      <c r="G125" s="67" t="str">
        <f t="shared" si="22"/>
        <v>JUNIOR</v>
      </c>
      <c r="H125" s="67" t="str">
        <f t="shared" si="23"/>
        <v>SVK</v>
      </c>
      <c r="I125" s="224">
        <v>0.45347222222222799</v>
      </c>
      <c r="J125" s="31"/>
      <c r="K125" s="31"/>
    </row>
    <row r="126" spans="1:11" s="69" customFormat="1" ht="13.7" customHeight="1" x14ac:dyDescent="0.2">
      <c r="A126" s="53">
        <v>115</v>
      </c>
      <c r="B126" s="99">
        <v>93</v>
      </c>
      <c r="C126" s="63" t="str">
        <f t="shared" si="18"/>
        <v>CZE19960424</v>
      </c>
      <c r="D126" s="64" t="str">
        <f t="shared" si="19"/>
        <v xml:space="preserve">GRUBER Pavel </v>
      </c>
      <c r="E126" s="65" t="str">
        <f t="shared" si="20"/>
        <v xml:space="preserve">TJ FAVORIT BRNO </v>
      </c>
      <c r="F126" s="66">
        <f t="shared" si="21"/>
        <v>13075</v>
      </c>
      <c r="G126" s="67" t="str">
        <f t="shared" si="22"/>
        <v>JUNIOR</v>
      </c>
      <c r="H126" s="67" t="str">
        <f t="shared" si="23"/>
        <v>FAV</v>
      </c>
      <c r="I126" s="224">
        <v>0.45416666666667299</v>
      </c>
      <c r="J126" s="31"/>
      <c r="K126" s="31"/>
    </row>
    <row r="127" spans="1:11" s="69" customFormat="1" ht="13.7" customHeight="1" x14ac:dyDescent="0.2">
      <c r="A127" s="53">
        <v>116</v>
      </c>
      <c r="B127" s="99">
        <v>143</v>
      </c>
      <c r="C127" s="63" t="str">
        <f t="shared" si="18"/>
        <v>CZE19960606</v>
      </c>
      <c r="D127" s="64" t="str">
        <f t="shared" si="19"/>
        <v xml:space="preserve">KOVÁŘ Jan </v>
      </c>
      <c r="E127" s="65" t="str">
        <f t="shared" si="20"/>
        <v xml:space="preserve">MAPEI CYKLO KAŇKOVSKÝ </v>
      </c>
      <c r="F127" s="66">
        <f t="shared" si="21"/>
        <v>12418</v>
      </c>
      <c r="G127" s="67" t="str">
        <f t="shared" si="22"/>
        <v>JUNIOR</v>
      </c>
      <c r="H127" s="67" t="str">
        <f t="shared" si="23"/>
        <v>MAP</v>
      </c>
      <c r="I127" s="224">
        <v>0.45486111111111699</v>
      </c>
      <c r="J127" s="31"/>
      <c r="K127" s="31"/>
    </row>
    <row r="128" spans="1:11" s="69" customFormat="1" ht="13.7" customHeight="1" x14ac:dyDescent="0.2">
      <c r="A128" s="53">
        <v>117</v>
      </c>
      <c r="B128" s="99">
        <v>2</v>
      </c>
      <c r="C128" s="63" t="str">
        <f t="shared" si="18"/>
        <v>GER19960829</v>
      </c>
      <c r="D128" s="64" t="str">
        <f t="shared" si="19"/>
        <v>SCHUCHMANN Franz-Leon</v>
      </c>
      <c r="E128" s="65" t="str">
        <f t="shared" si="20"/>
        <v>RSV SONNEBERG</v>
      </c>
      <c r="F128" s="66" t="str">
        <f t="shared" si="21"/>
        <v>THÜ173330</v>
      </c>
      <c r="G128" s="67" t="str">
        <f t="shared" si="22"/>
        <v>JUNIOR</v>
      </c>
      <c r="H128" s="67" t="str">
        <f t="shared" si="23"/>
        <v>TUR</v>
      </c>
      <c r="I128" s="224">
        <v>0.45555555555556199</v>
      </c>
      <c r="J128" s="31"/>
      <c r="K128" s="31"/>
    </row>
    <row r="129" spans="1:11" s="69" customFormat="1" ht="13.7" customHeight="1" x14ac:dyDescent="0.2">
      <c r="A129" s="53">
        <v>118</v>
      </c>
      <c r="B129" s="99">
        <v>116</v>
      </c>
      <c r="C129" s="63" t="str">
        <f t="shared" si="18"/>
        <v>GER19960909</v>
      </c>
      <c r="D129" s="64" t="str">
        <f t="shared" si="19"/>
        <v>KÄMNA Lennard</v>
      </c>
      <c r="E129" s="65" t="str">
        <f t="shared" si="20"/>
        <v>TEAM BRANDENBURG - RSC COTTBUS</v>
      </c>
      <c r="F129" s="66" t="str">
        <f t="shared" si="21"/>
        <v>050980-11</v>
      </c>
      <c r="G129" s="67" t="str">
        <f t="shared" si="22"/>
        <v>JUNIOR</v>
      </c>
      <c r="H129" s="67" t="str">
        <f t="shared" si="23"/>
        <v>COT</v>
      </c>
      <c r="I129" s="224">
        <v>0.45625000000000598</v>
      </c>
      <c r="J129" s="31"/>
      <c r="K129" s="31"/>
    </row>
    <row r="130" spans="1:11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</row>
    <row r="131" spans="1:11" s="5" customFormat="1" x14ac:dyDescent="0.2"/>
    <row r="132" spans="1:11" s="5" customFormat="1" ht="17.25" customHeight="1" x14ac:dyDescent="0.2">
      <c r="B132" s="32"/>
      <c r="C132" s="32" t="s">
        <v>139</v>
      </c>
      <c r="D132" s="33"/>
      <c r="E132" s="33"/>
      <c r="F132" s="33"/>
    </row>
    <row r="133" spans="1:11" s="5" customFormat="1" ht="5.25" customHeight="1" x14ac:dyDescent="0.2">
      <c r="B133" s="10"/>
      <c r="C133" s="9"/>
      <c r="D133" s="11"/>
      <c r="E133" s="8"/>
    </row>
    <row r="134" spans="1:11" s="5" customFormat="1" ht="15" customHeight="1" x14ac:dyDescent="0.2">
      <c r="B134" s="192">
        <v>116</v>
      </c>
      <c r="C134" s="1"/>
      <c r="D134" s="12" t="s">
        <v>60</v>
      </c>
      <c r="E134" s="15" t="str">
        <f xml:space="preserve"> "    " &amp; B134 &amp; IF(LEN(B134)=2,"   ",IF(LEN(B134)=1,"      ","")) &amp; "  -   "&amp; VLOOKUP(B134,STARTOVKA,3)</f>
        <v xml:space="preserve">    116  -   KÄMNA Lennard</v>
      </c>
    </row>
    <row r="135" spans="1:11" s="5" customFormat="1" ht="15" customHeight="1" x14ac:dyDescent="0.2">
      <c r="B135" s="192">
        <v>2</v>
      </c>
      <c r="C135" s="1"/>
      <c r="D135" s="151" t="s">
        <v>551</v>
      </c>
      <c r="E135" s="15" t="str">
        <f xml:space="preserve"> "    " &amp; B135 &amp; IF(LEN(B135)=2,"   ",IF(LEN(B135)=1,"      ","")) &amp; "  -   "&amp; VLOOKUP(B135,STARTOVKA,3)</f>
        <v xml:space="preserve">    2        -   SCHUCHMANN Franz-Leon</v>
      </c>
    </row>
    <row r="136" spans="1:11" s="5" customFormat="1" ht="15" customHeight="1" x14ac:dyDescent="0.2">
      <c r="B136" s="192">
        <v>143</v>
      </c>
      <c r="C136" s="1"/>
      <c r="D136" s="12" t="s">
        <v>61</v>
      </c>
      <c r="E136" s="15" t="str">
        <f xml:space="preserve"> "    " &amp; B136 &amp; IF(LEN(B136)=2,"   ",IF(LEN(B136)=1,"      ","")) &amp; "  -   "&amp; VLOOKUP(B136,STARTOVKA,3)</f>
        <v xml:space="preserve">    143  -   KOVÁŘ Jan </v>
      </c>
    </row>
    <row r="137" spans="1:11" s="5" customFormat="1" ht="15" customHeight="1" x14ac:dyDescent="0.2">
      <c r="B137" s="192">
        <v>150</v>
      </c>
      <c r="C137" s="1"/>
      <c r="D137" s="151" t="s">
        <v>552</v>
      </c>
      <c r="E137" s="15" t="str">
        <f xml:space="preserve"> "    " &amp; B137 &amp; IF(LEN(B137)=2,"   ",IF(LEN(B137)=1,"      ","")) &amp; "  -   "&amp; VLOOKUP(B137,STARTOVKA,3)</f>
        <v xml:space="preserve">    150  -   BRÁZDA Michal </v>
      </c>
    </row>
    <row r="138" spans="1:11" s="5" customFormat="1" ht="15" customHeight="1" x14ac:dyDescent="0.2"/>
    <row r="139" spans="1:11" s="5" customFormat="1" x14ac:dyDescent="0.2">
      <c r="B139" s="192">
        <v>22</v>
      </c>
      <c r="C139" s="1"/>
      <c r="D139" s="222" t="s">
        <v>553</v>
      </c>
      <c r="E139" s="15" t="str">
        <f xml:space="preserve"> "    " &amp; B139 &amp; IF(LEN(B139)=2,"   ",IF(LEN(B139)=1,"      ","")) &amp; "  -   "&amp; VLOOKUP(B139,STARTOVKA,3)</f>
        <v xml:space="preserve">    22     -   HAUPT Tarik</v>
      </c>
    </row>
    <row r="172" spans="1:11" s="5" customFormat="1" ht="12" customHeight="1" x14ac:dyDescent="0.2">
      <c r="B172" s="18"/>
      <c r="C172" s="135"/>
      <c r="D172" s="70"/>
    </row>
    <row r="173" spans="1:11" s="5" customFormat="1" x14ac:dyDescent="0.2">
      <c r="C173" s="135"/>
    </row>
    <row r="174" spans="1:11" ht="6" customHeight="1" x14ac:dyDescent="0.2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43</v>
      </c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 t="s">
        <v>478</v>
      </c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</row>
    <row r="186" spans="1:11" ht="11.45" customHeight="1" x14ac:dyDescent="0.2">
      <c r="A186" s="255" t="s">
        <v>44</v>
      </c>
      <c r="B186" s="255"/>
      <c r="C186" s="255"/>
      <c r="D186" s="255"/>
      <c r="E186" s="255"/>
      <c r="F186" s="255"/>
      <c r="G186" s="255"/>
      <c r="H186" s="255"/>
      <c r="I186" s="255"/>
      <c r="J186" s="255"/>
      <c r="K186" s="255"/>
    </row>
    <row r="200" spans="2:10" s="5" customFormat="1" ht="17.25" hidden="1" customHeight="1" outlineLevel="1" x14ac:dyDescent="0.2">
      <c r="B200" s="32"/>
      <c r="C200" s="32" t="s">
        <v>62</v>
      </c>
      <c r="D200" s="33"/>
      <c r="E200" s="33"/>
      <c r="F200" s="33"/>
    </row>
    <row r="201" spans="2:10" s="5" customFormat="1" ht="5.25" hidden="1" customHeight="1" outlineLevel="1" x14ac:dyDescent="0.2">
      <c r="B201" s="10"/>
      <c r="C201" s="9"/>
      <c r="D201" s="11"/>
      <c r="E201" s="8"/>
    </row>
    <row r="202" spans="2:10" s="5" customFormat="1" ht="12" hidden="1" customHeight="1" outlineLevel="1" x14ac:dyDescent="0.2">
      <c r="B202" s="18">
        <v>1</v>
      </c>
      <c r="C202" s="135" t="s">
        <v>170</v>
      </c>
      <c r="D202" s="70" t="str">
        <f t="shared" ref="D202:D219" si="24">IFERROR(MID(VLOOKUP($C202,ODDIL,2,0),1,FIND(",",VLOOKUP($C202,ODDIL,2,0),1)-1) &amp;  "…", VLOOKUP($C202,ODDIL,2,0))</f>
        <v>TEAM BRANDENBURG - RSC COTTBUS</v>
      </c>
    </row>
    <row r="203" spans="2:10" s="5" customFormat="1" ht="12" hidden="1" customHeight="1" outlineLevel="1" x14ac:dyDescent="0.2">
      <c r="B203" s="18">
        <v>2</v>
      </c>
      <c r="C203" s="135" t="s">
        <v>42</v>
      </c>
      <c r="D203" s="70" t="str">
        <f t="shared" si="24"/>
        <v xml:space="preserve">TJ FAVORIT BRNO </v>
      </c>
    </row>
    <row r="204" spans="2:10" s="5" customFormat="1" ht="12" hidden="1" customHeight="1" outlineLevel="1" x14ac:dyDescent="0.2">
      <c r="B204" s="18">
        <v>3</v>
      </c>
      <c r="C204" s="135" t="s">
        <v>211</v>
      </c>
      <c r="D204" s="70" t="str">
        <f t="shared" si="24"/>
        <v>GRUPA KOLARSKA GLIWICE BA…</v>
      </c>
      <c r="G204" s="165"/>
    </row>
    <row r="205" spans="2:10" s="5" customFormat="1" ht="12" hidden="1" customHeight="1" outlineLevel="1" x14ac:dyDescent="0.2">
      <c r="B205" s="18">
        <v>4</v>
      </c>
      <c r="C205" s="135" t="s">
        <v>236</v>
      </c>
      <c r="D205" s="70" t="str">
        <f t="shared" si="24"/>
        <v xml:space="preserve">DSR AUTHOR GÓRNIK WAŁBRZYCH </v>
      </c>
      <c r="F205" s="166" t="s">
        <v>128</v>
      </c>
      <c r="G205" s="167"/>
      <c r="H205" s="167"/>
      <c r="I205" s="167"/>
      <c r="J205" s="167"/>
    </row>
    <row r="206" spans="2:10" s="5" customFormat="1" ht="12" hidden="1" customHeight="1" outlineLevel="1" x14ac:dyDescent="0.2">
      <c r="B206" s="18">
        <v>5</v>
      </c>
      <c r="C206" s="135" t="s">
        <v>250</v>
      </c>
      <c r="D206" s="70" t="str">
        <f t="shared" si="24"/>
        <v>KC KOOPERATIVA SG JABLONEC N.N…</v>
      </c>
    </row>
    <row r="207" spans="2:10" s="5" customFormat="1" ht="12" hidden="1" customHeight="1" outlineLevel="1" x14ac:dyDescent="0.2">
      <c r="B207" s="18">
        <v>6</v>
      </c>
      <c r="C207" s="135" t="s">
        <v>346</v>
      </c>
      <c r="D207" s="70" t="str">
        <f t="shared" si="24"/>
        <v>TJ KOVO PRAHA…</v>
      </c>
      <c r="F207" s="259"/>
      <c r="G207" s="259"/>
      <c r="H207" s="259"/>
      <c r="I207" s="259"/>
      <c r="J207" s="259"/>
    </row>
    <row r="208" spans="2:10" s="5" customFormat="1" ht="12" hidden="1" customHeight="1" outlineLevel="1" x14ac:dyDescent="0.2">
      <c r="B208" s="18">
        <v>7</v>
      </c>
      <c r="C208" s="135" t="s">
        <v>274</v>
      </c>
      <c r="D208" s="70" t="str">
        <f t="shared" si="24"/>
        <v>TJ STADION LOUNY …</v>
      </c>
      <c r="F208" s="259"/>
      <c r="G208" s="259"/>
      <c r="H208" s="259"/>
      <c r="I208" s="259"/>
      <c r="J208" s="259"/>
    </row>
    <row r="209" spans="2:10" s="5" customFormat="1" ht="12" hidden="1" customHeight="1" outlineLevel="1" x14ac:dyDescent="0.2">
      <c r="B209" s="18">
        <v>8</v>
      </c>
      <c r="C209" s="135" t="s">
        <v>294</v>
      </c>
      <c r="D209" s="70" t="str">
        <f t="shared" si="24"/>
        <v xml:space="preserve">LRV STEIERMARK </v>
      </c>
      <c r="F209" s="259"/>
      <c r="G209" s="259"/>
      <c r="H209" s="259"/>
      <c r="I209" s="259"/>
      <c r="J209" s="259"/>
    </row>
    <row r="210" spans="2:10" s="5" customFormat="1" ht="12" hidden="1" customHeight="1" outlineLevel="1" x14ac:dyDescent="0.2">
      <c r="B210" s="18">
        <v>9</v>
      </c>
      <c r="C210" s="135" t="s">
        <v>310</v>
      </c>
      <c r="D210" s="70" t="str">
        <f t="shared" si="24"/>
        <v xml:space="preserve">MAPEI CYKLO KAŇKOVSKÝ </v>
      </c>
      <c r="F210" s="259"/>
      <c r="G210" s="259"/>
      <c r="H210" s="259"/>
      <c r="I210" s="259"/>
      <c r="J210" s="259"/>
    </row>
    <row r="211" spans="2:10" s="5" customFormat="1" ht="12" hidden="1" customHeight="1" outlineLevel="1" x14ac:dyDescent="0.2">
      <c r="B211" s="18">
        <v>10</v>
      </c>
      <c r="C211" s="135" t="s">
        <v>360</v>
      </c>
      <c r="D211" s="70" t="str">
        <f t="shared" si="24"/>
        <v>RC ARBÖ WELS GOURMETFEIN…</v>
      </c>
      <c r="F211" s="259"/>
      <c r="G211" s="259"/>
      <c r="H211" s="259"/>
      <c r="I211" s="259"/>
      <c r="J211" s="259"/>
    </row>
    <row r="212" spans="2:10" s="5" customFormat="1" ht="12" hidden="1" customHeight="1" outlineLevel="1" x14ac:dyDescent="0.2">
      <c r="B212" s="18">
        <v>11</v>
      </c>
      <c r="C212" s="135" t="s">
        <v>332</v>
      </c>
      <c r="D212" s="70" t="str">
        <f t="shared" si="24"/>
        <v>REMERX - MERIDA TEAM KOLÍN…</v>
      </c>
      <c r="F212" s="259"/>
      <c r="G212" s="259"/>
      <c r="H212" s="259"/>
      <c r="I212" s="259"/>
      <c r="J212" s="259"/>
    </row>
    <row r="213" spans="2:10" s="5" customFormat="1" ht="12" hidden="1" customHeight="1" outlineLevel="1" x14ac:dyDescent="0.2">
      <c r="B213" s="18">
        <v>12</v>
      </c>
      <c r="C213" s="135" t="s">
        <v>381</v>
      </c>
      <c r="D213" s="70" t="str">
        <f t="shared" si="24"/>
        <v>RG BERLIN</v>
      </c>
      <c r="F213" s="15"/>
      <c r="G213" s="15"/>
      <c r="H213" s="15"/>
      <c r="I213" s="15"/>
      <c r="J213" s="15"/>
    </row>
    <row r="214" spans="2:10" s="5" customFormat="1" ht="12" hidden="1" customHeight="1" outlineLevel="1" x14ac:dyDescent="0.2">
      <c r="B214" s="18">
        <v>13</v>
      </c>
      <c r="C214" s="135" t="s">
        <v>99</v>
      </c>
      <c r="D214" s="70" t="str">
        <f t="shared" si="24"/>
        <v>RUSSIAN CYCLING FEDERATION</v>
      </c>
      <c r="F214" s="259"/>
      <c r="G214" s="259"/>
      <c r="H214" s="259"/>
      <c r="I214" s="259"/>
      <c r="J214" s="259"/>
    </row>
    <row r="215" spans="2:10" s="5" customFormat="1" ht="12" hidden="1" customHeight="1" outlineLevel="1" x14ac:dyDescent="0.2">
      <c r="B215" s="18">
        <v>14</v>
      </c>
      <c r="C215" s="135" t="s">
        <v>405</v>
      </c>
      <c r="D215" s="70" t="str">
        <f t="shared" si="24"/>
        <v>JUNIOREN SCHWALBE TEAM SACHSEN</v>
      </c>
      <c r="F215" s="259"/>
      <c r="G215" s="259"/>
      <c r="H215" s="259"/>
      <c r="I215" s="259"/>
      <c r="J215" s="259"/>
    </row>
    <row r="216" spans="2:10" s="5" customFormat="1" ht="12" hidden="1" customHeight="1" outlineLevel="1" x14ac:dyDescent="0.2">
      <c r="B216" s="18">
        <v>15</v>
      </c>
      <c r="C216" s="135" t="s">
        <v>100</v>
      </c>
      <c r="D216" s="70" t="str">
        <f t="shared" si="24"/>
        <v>SKC TUFO PROSTĚJOV…</v>
      </c>
      <c r="F216" s="259"/>
      <c r="G216" s="259"/>
      <c r="H216" s="259"/>
      <c r="I216" s="259"/>
      <c r="J216" s="259"/>
    </row>
    <row r="217" spans="2:10" s="5" customFormat="1" ht="12" hidden="1" customHeight="1" outlineLevel="1" x14ac:dyDescent="0.2">
      <c r="B217" s="18">
        <v>16</v>
      </c>
      <c r="C217" s="135" t="s">
        <v>452</v>
      </c>
      <c r="D217" s="70" t="str">
        <f t="shared" si="24"/>
        <v>SLÁVIA ŠG TRENČÍN…</v>
      </c>
      <c r="F217" s="259"/>
      <c r="G217" s="259"/>
      <c r="H217" s="259"/>
      <c r="I217" s="259"/>
      <c r="J217" s="259"/>
    </row>
    <row r="218" spans="2:10" s="5" customFormat="1" ht="12" hidden="1" customHeight="1" outlineLevel="1" x14ac:dyDescent="0.2">
      <c r="B218" s="18">
        <v>17</v>
      </c>
      <c r="C218" s="135" t="s">
        <v>43</v>
      </c>
      <c r="D218" s="70" t="str">
        <f t="shared" si="24"/>
        <v xml:space="preserve">SLOVAK CYCLING FEDERATION </v>
      </c>
      <c r="F218" s="259"/>
      <c r="G218" s="259"/>
      <c r="H218" s="259"/>
      <c r="I218" s="259"/>
      <c r="J218" s="259"/>
    </row>
    <row r="219" spans="2:10" s="5" customFormat="1" ht="12" hidden="1" customHeight="1" outlineLevel="1" x14ac:dyDescent="0.2">
      <c r="B219" s="18">
        <v>18</v>
      </c>
      <c r="C219" s="135" t="s">
        <v>478</v>
      </c>
      <c r="D219" s="70" t="str">
        <f t="shared" si="24"/>
        <v>RSC TURBINE ERFURT…</v>
      </c>
      <c r="F219" s="259"/>
      <c r="G219" s="259"/>
      <c r="H219" s="259"/>
      <c r="I219" s="259"/>
      <c r="J219" s="259"/>
    </row>
    <row r="220" spans="2:10" collapsed="1" x14ac:dyDescent="0.2"/>
  </sheetData>
  <sortState ref="A12:B129">
    <sortCondition descending="1" ref="A12"/>
  </sortState>
  <mergeCells count="8">
    <mergeCell ref="A186:K186"/>
    <mergeCell ref="F207:J212"/>
    <mergeCell ref="F214:J219"/>
    <mergeCell ref="A1:K1"/>
    <mergeCell ref="A2:K2"/>
    <mergeCell ref="D3:H3"/>
    <mergeCell ref="A5:K5"/>
    <mergeCell ref="A10:K10"/>
  </mergeCells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187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V1" s="164" t="str">
        <f>IF(MAX(W:W)&gt;1,"DUPLICITA","")</f>
        <v/>
      </c>
    </row>
    <row r="2" spans="1:23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23" s="20" customFormat="1" ht="18.75" x14ac:dyDescent="0.3">
      <c r="C3" s="1"/>
      <c r="D3" s="251" t="str">
        <f>CTRL!B17</f>
        <v xml:space="preserve">1. etapa / 1st Stage  </v>
      </c>
      <c r="E3" s="251"/>
      <c r="F3" s="251"/>
      <c r="G3" s="251"/>
      <c r="H3" s="251"/>
      <c r="I3" s="49"/>
      <c r="K3" s="2" t="str">
        <f>"Com.no.: 3/" &amp; CTRL!B27</f>
        <v>Com.no.: 3/31</v>
      </c>
    </row>
    <row r="4" spans="1:2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23" s="20" customFormat="1" ht="9" customHeight="1" x14ac:dyDescent="0.2">
      <c r="C6" s="1"/>
    </row>
    <row r="7" spans="1:23" s="20" customFormat="1" x14ac:dyDescent="0.2">
      <c r="A7" s="28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65</v>
      </c>
      <c r="H7" s="28" t="s">
        <v>12</v>
      </c>
      <c r="I7" s="28" t="s">
        <v>58</v>
      </c>
      <c r="J7" s="28" t="s">
        <v>27</v>
      </c>
      <c r="K7" s="28" t="s">
        <v>94</v>
      </c>
      <c r="M7" s="85" t="s">
        <v>94</v>
      </c>
      <c r="N7" s="85" t="s">
        <v>94</v>
      </c>
      <c r="O7" s="85" t="s">
        <v>108</v>
      </c>
      <c r="P7" s="85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29" t="s">
        <v>6</v>
      </c>
      <c r="B8" s="29" t="s">
        <v>7</v>
      </c>
      <c r="C8" s="29" t="s">
        <v>8</v>
      </c>
      <c r="D8" s="29" t="s">
        <v>9</v>
      </c>
      <c r="E8" s="29" t="s">
        <v>14</v>
      </c>
      <c r="F8" s="29" t="s">
        <v>10</v>
      </c>
      <c r="G8" s="29" t="s">
        <v>66</v>
      </c>
      <c r="H8" s="29" t="s">
        <v>11</v>
      </c>
      <c r="I8" s="29" t="s">
        <v>59</v>
      </c>
      <c r="J8" s="29" t="s">
        <v>57</v>
      </c>
      <c r="K8" s="29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ROUND(CTRL!B2/(HOUR($I$12)+(MINUTE($I$12)+SECOND($I$12)/60)/60),2) &amp; " km/h"</f>
        <v>Průměrná rychlost / Average Speed: 41,17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99">
        <v>116</v>
      </c>
      <c r="C12" s="63" t="str">
        <f t="shared" ref="C12:C75" si="0">VLOOKUP(B12,STARTOVKA,2,0)</f>
        <v>GER19960909</v>
      </c>
      <c r="D12" s="64" t="str">
        <f t="shared" ref="D12" si="1">VLOOKUP(B12,STARTOVKA,3,0)</f>
        <v>KÄMNA Lennard</v>
      </c>
      <c r="E12" s="65" t="str">
        <f t="shared" ref="E12" si="2">VLOOKUP(B12,STARTOVKA,4,0)</f>
        <v>TEAM BRANDENBURG - RSC COTTBUS</v>
      </c>
      <c r="F12" s="66" t="str">
        <f t="shared" ref="F12" si="3">VLOOKUP(B12,STARTOVKA,5,0)</f>
        <v>050980-11</v>
      </c>
      <c r="G12" s="67" t="str">
        <f t="shared" ref="G12" si="4">VLOOKUP(B12,STARTOVKA,6,0)</f>
        <v>JUNIOR</v>
      </c>
      <c r="H12" s="67" t="str">
        <f t="shared" ref="H12" si="5">VLOOKUP(B12,STARTOVKA,7,0)</f>
        <v>COT</v>
      </c>
      <c r="I12" s="68">
        <v>7.7928240740740742E-2</v>
      </c>
      <c r="J12" s="31">
        <f>I12-$I$12</f>
        <v>0</v>
      </c>
      <c r="K12" s="31">
        <f t="shared" ref="K12:K43" si="6">M12+N12</f>
        <v>1.1574074074074073E-4</v>
      </c>
      <c r="M12" s="31"/>
      <c r="N12" s="31">
        <v>1.1574074074074073E-4</v>
      </c>
      <c r="O12" s="31"/>
      <c r="P12" s="150">
        <f>I12-K12+O12</f>
        <v>7.7812500000000007E-2</v>
      </c>
      <c r="R12" s="158">
        <v>116</v>
      </c>
      <c r="S12" s="159">
        <v>1</v>
      </c>
      <c r="T12" s="157">
        <f>IF(R12&lt;&gt;"",R12,"")</f>
        <v>116</v>
      </c>
      <c r="U12" s="160">
        <v>1</v>
      </c>
      <c r="V12" s="161">
        <v>1</v>
      </c>
      <c r="W12" s="157">
        <f t="shared" ref="W12:W43" si="7">SUMIF(T:T,V:V,U:U)</f>
        <v>0</v>
      </c>
    </row>
    <row r="13" spans="1:23" s="69" customFormat="1" ht="13.7" customHeight="1" x14ac:dyDescent="0.25">
      <c r="A13" s="53">
        <v>2</v>
      </c>
      <c r="B13" s="99">
        <v>2</v>
      </c>
      <c r="C13" s="63" t="str">
        <f t="shared" si="0"/>
        <v>GER19960829</v>
      </c>
      <c r="D13" s="64" t="str">
        <f t="shared" ref="D13:D76" si="8">VLOOKUP(B13,STARTOVKA,3,0)</f>
        <v>SCHUCHMANN Franz-Leon</v>
      </c>
      <c r="E13" s="65" t="str">
        <f t="shared" ref="E13:E76" si="9">VLOOKUP(B13,STARTOVKA,4,0)</f>
        <v>RSV SONNEBERG</v>
      </c>
      <c r="F13" s="66" t="str">
        <f t="shared" ref="F13:F76" si="10">VLOOKUP(B13,STARTOVKA,5,0)</f>
        <v>THÜ173330</v>
      </c>
      <c r="G13" s="67" t="str">
        <f t="shared" ref="G13:G76" si="11">VLOOKUP(B13,STARTOVKA,6,0)</f>
        <v>JUNIOR</v>
      </c>
      <c r="H13" s="67" t="str">
        <f t="shared" ref="H13:H76" si="12">VLOOKUP(B13,STARTOVKA,7,0)</f>
        <v>TUR</v>
      </c>
      <c r="I13" s="68">
        <v>7.8067129629629625E-2</v>
      </c>
      <c r="J13" s="31">
        <f t="shared" ref="J13:J76" si="13">I13-$I$12</f>
        <v>1.3888888888888284E-4</v>
      </c>
      <c r="K13" s="31">
        <f t="shared" si="6"/>
        <v>6.9444444444444444E-5</v>
      </c>
      <c r="M13" s="31"/>
      <c r="N13" s="31">
        <v>6.9444444444444444E-5</v>
      </c>
      <c r="O13" s="31"/>
      <c r="P13" s="150">
        <f>I13-K13+O13</f>
        <v>7.7997685185185184E-2</v>
      </c>
      <c r="R13" s="158">
        <v>2</v>
      </c>
      <c r="S13" s="159">
        <v>2</v>
      </c>
      <c r="T13" s="157">
        <f t="shared" ref="T13:T76" si="14">IF(R13&lt;&gt;"",R13,"")</f>
        <v>2</v>
      </c>
      <c r="U13" s="160">
        <v>1</v>
      </c>
      <c r="V13" s="161">
        <v>2</v>
      </c>
      <c r="W13" s="157">
        <f t="shared" si="7"/>
        <v>1</v>
      </c>
    </row>
    <row r="14" spans="1:23" s="69" customFormat="1" ht="13.7" customHeight="1" x14ac:dyDescent="0.25">
      <c r="A14" s="53">
        <v>3</v>
      </c>
      <c r="B14" s="99">
        <v>143</v>
      </c>
      <c r="C14" s="63" t="str">
        <f t="shared" si="0"/>
        <v>CZE19960606</v>
      </c>
      <c r="D14" s="64" t="str">
        <f t="shared" si="8"/>
        <v xml:space="preserve">KOVÁŘ Jan </v>
      </c>
      <c r="E14" s="65" t="str">
        <f t="shared" si="9"/>
        <v xml:space="preserve">MAPEI CYKLO KAŇKOVSKÝ </v>
      </c>
      <c r="F14" s="66">
        <f t="shared" si="10"/>
        <v>12418</v>
      </c>
      <c r="G14" s="67" t="str">
        <f t="shared" si="11"/>
        <v>JUNIOR</v>
      </c>
      <c r="H14" s="67" t="str">
        <f t="shared" si="12"/>
        <v>MAP</v>
      </c>
      <c r="I14" s="68">
        <v>7.8067129629629625E-2</v>
      </c>
      <c r="J14" s="31">
        <f t="shared" si="13"/>
        <v>1.3888888888888284E-4</v>
      </c>
      <c r="K14" s="31">
        <f t="shared" si="6"/>
        <v>4.6296296296296294E-5</v>
      </c>
      <c r="M14" s="31"/>
      <c r="N14" s="31">
        <v>4.6296296296296294E-5</v>
      </c>
      <c r="O14" s="31"/>
      <c r="P14" s="150">
        <f t="shared" ref="P14:P77" si="15">I14-K14+O14</f>
        <v>7.8020833333333331E-2</v>
      </c>
      <c r="R14" s="158">
        <v>143</v>
      </c>
      <c r="S14" s="159">
        <v>3</v>
      </c>
      <c r="T14" s="157">
        <f t="shared" si="14"/>
        <v>143</v>
      </c>
      <c r="U14" s="160">
        <v>1</v>
      </c>
      <c r="V14" s="161">
        <v>3</v>
      </c>
      <c r="W14" s="157">
        <f t="shared" si="7"/>
        <v>1</v>
      </c>
    </row>
    <row r="15" spans="1:23" s="69" customFormat="1" ht="13.7" customHeight="1" x14ac:dyDescent="0.25">
      <c r="A15" s="53">
        <v>4</v>
      </c>
      <c r="B15" s="99">
        <v>93</v>
      </c>
      <c r="C15" s="63" t="str">
        <f t="shared" si="0"/>
        <v>CZE19960424</v>
      </c>
      <c r="D15" s="64" t="str">
        <f t="shared" si="8"/>
        <v xml:space="preserve">GRUBER Pavel </v>
      </c>
      <c r="E15" s="65" t="str">
        <f t="shared" si="9"/>
        <v xml:space="preserve">TJ FAVORIT BRNO </v>
      </c>
      <c r="F15" s="66">
        <f t="shared" si="10"/>
        <v>13075</v>
      </c>
      <c r="G15" s="67" t="str">
        <f t="shared" si="11"/>
        <v>JUNIOR</v>
      </c>
      <c r="H15" s="67" t="str">
        <f t="shared" si="12"/>
        <v>FAV</v>
      </c>
      <c r="I15" s="68">
        <v>7.8067129629629625E-2</v>
      </c>
      <c r="J15" s="31">
        <f t="shared" si="13"/>
        <v>1.3888888888888284E-4</v>
      </c>
      <c r="K15" s="31">
        <f t="shared" si="6"/>
        <v>0</v>
      </c>
      <c r="M15" s="31"/>
      <c r="N15" s="31"/>
      <c r="O15" s="31"/>
      <c r="P15" s="150">
        <f t="shared" si="15"/>
        <v>7.8067129629629625E-2</v>
      </c>
      <c r="R15" s="158">
        <v>93</v>
      </c>
      <c r="S15" s="159">
        <v>4</v>
      </c>
      <c r="T15" s="157">
        <f t="shared" si="14"/>
        <v>93</v>
      </c>
      <c r="U15" s="160">
        <v>1</v>
      </c>
      <c r="V15" s="161">
        <v>4</v>
      </c>
      <c r="W15" s="157">
        <f t="shared" si="7"/>
        <v>1</v>
      </c>
    </row>
    <row r="16" spans="1:23" s="69" customFormat="1" ht="13.7" customHeight="1" x14ac:dyDescent="0.25">
      <c r="A16" s="53">
        <v>5</v>
      </c>
      <c r="B16" s="99">
        <v>113</v>
      </c>
      <c r="C16" s="63" t="str">
        <f t="shared" si="0"/>
        <v>GER19961002</v>
      </c>
      <c r="D16" s="64" t="str">
        <f t="shared" si="8"/>
        <v>ROHDE Louis</v>
      </c>
      <c r="E16" s="65" t="str">
        <f t="shared" si="9"/>
        <v>TEAM BRANDENBURG - RSC COTTBUS</v>
      </c>
      <c r="F16" s="66" t="str">
        <f t="shared" si="10"/>
        <v>062094-11</v>
      </c>
      <c r="G16" s="67" t="str">
        <f t="shared" si="11"/>
        <v>JUNIOR</v>
      </c>
      <c r="H16" s="67" t="str">
        <f t="shared" si="12"/>
        <v>COT</v>
      </c>
      <c r="I16" s="68">
        <v>7.8287037037037044E-2</v>
      </c>
      <c r="J16" s="31">
        <f t="shared" si="13"/>
        <v>3.587962962963015E-4</v>
      </c>
      <c r="K16" s="31">
        <f t="shared" si="6"/>
        <v>0</v>
      </c>
      <c r="M16" s="31"/>
      <c r="N16" s="31"/>
      <c r="O16" s="31"/>
      <c r="P16" s="150">
        <f t="shared" si="15"/>
        <v>7.8287037037037044E-2</v>
      </c>
      <c r="R16" s="158">
        <v>113</v>
      </c>
      <c r="S16" s="159">
        <v>5</v>
      </c>
      <c r="T16" s="157">
        <f t="shared" si="14"/>
        <v>113</v>
      </c>
      <c r="U16" s="160">
        <v>1</v>
      </c>
      <c r="V16" s="161">
        <v>5</v>
      </c>
      <c r="W16" s="157">
        <f t="shared" si="7"/>
        <v>1</v>
      </c>
    </row>
    <row r="17" spans="1:23" s="69" customFormat="1" ht="13.7" customHeight="1" x14ac:dyDescent="0.25">
      <c r="A17" s="53">
        <v>6</v>
      </c>
      <c r="B17" s="99">
        <v>151</v>
      </c>
      <c r="C17" s="63" t="str">
        <f t="shared" si="0"/>
        <v>CZE19960501</v>
      </c>
      <c r="D17" s="64" t="str">
        <f t="shared" si="8"/>
        <v>TOMAN Vojtěch</v>
      </c>
      <c r="E17" s="65" t="str">
        <f t="shared" si="9"/>
        <v>STEVENS ZNOJMO</v>
      </c>
      <c r="F17" s="66">
        <f t="shared" si="10"/>
        <v>9096</v>
      </c>
      <c r="G17" s="67" t="str">
        <f t="shared" si="11"/>
        <v>JUNIOR</v>
      </c>
      <c r="H17" s="67" t="str">
        <f t="shared" si="12"/>
        <v>SKC</v>
      </c>
      <c r="I17" s="68">
        <v>7.8287037037037044E-2</v>
      </c>
      <c r="J17" s="31">
        <f t="shared" si="13"/>
        <v>3.587962962963015E-4</v>
      </c>
      <c r="K17" s="31">
        <f t="shared" si="6"/>
        <v>1.1574074074074073E-5</v>
      </c>
      <c r="M17" s="31">
        <v>1.1574074074074073E-5</v>
      </c>
      <c r="N17" s="31"/>
      <c r="O17" s="31"/>
      <c r="P17" s="150">
        <f t="shared" si="15"/>
        <v>7.8275462962962963E-2</v>
      </c>
      <c r="R17" s="158">
        <v>151</v>
      </c>
      <c r="S17" s="159">
        <v>6</v>
      </c>
      <c r="T17" s="157">
        <f t="shared" si="14"/>
        <v>151</v>
      </c>
      <c r="U17" s="160">
        <v>1</v>
      </c>
      <c r="V17" s="161">
        <v>6</v>
      </c>
      <c r="W17" s="157">
        <f t="shared" si="7"/>
        <v>1</v>
      </c>
    </row>
    <row r="18" spans="1:23" s="69" customFormat="1" ht="13.7" customHeight="1" x14ac:dyDescent="0.25">
      <c r="A18" s="53">
        <v>7</v>
      </c>
      <c r="B18" s="99">
        <v>111</v>
      </c>
      <c r="C18" s="63" t="str">
        <f t="shared" si="0"/>
        <v>GER19960410</v>
      </c>
      <c r="D18" s="64" t="str">
        <f t="shared" si="8"/>
        <v>BECKER Alexander</v>
      </c>
      <c r="E18" s="65" t="str">
        <f t="shared" si="9"/>
        <v>TEAM BRANDENBURG - RSC COTTBUS</v>
      </c>
      <c r="F18" s="66" t="str">
        <f t="shared" si="10"/>
        <v>042439-11</v>
      </c>
      <c r="G18" s="67" t="str">
        <f t="shared" si="11"/>
        <v>JUNIOR</v>
      </c>
      <c r="H18" s="67" t="str">
        <f t="shared" si="12"/>
        <v>COT</v>
      </c>
      <c r="I18" s="68">
        <v>7.8287037037037044E-2</v>
      </c>
      <c r="J18" s="31">
        <f t="shared" si="13"/>
        <v>3.587962962963015E-4</v>
      </c>
      <c r="K18" s="31">
        <f t="shared" si="6"/>
        <v>0</v>
      </c>
      <c r="M18" s="31"/>
      <c r="N18" s="31"/>
      <c r="O18" s="31"/>
      <c r="P18" s="150">
        <f t="shared" si="15"/>
        <v>7.8287037037037044E-2</v>
      </c>
      <c r="R18" s="158">
        <v>111</v>
      </c>
      <c r="S18" s="159">
        <v>7</v>
      </c>
      <c r="T18" s="157">
        <f t="shared" si="14"/>
        <v>111</v>
      </c>
      <c r="U18" s="160">
        <v>1</v>
      </c>
      <c r="V18" s="161">
        <v>7</v>
      </c>
      <c r="W18" s="157">
        <f t="shared" si="7"/>
        <v>1</v>
      </c>
    </row>
    <row r="19" spans="1:23" s="69" customFormat="1" ht="13.7" customHeight="1" x14ac:dyDescent="0.25">
      <c r="A19" s="53">
        <v>8</v>
      </c>
      <c r="B19" s="99">
        <v>182</v>
      </c>
      <c r="C19" s="63" t="str">
        <f t="shared" si="0"/>
        <v>AUT19960709</v>
      </c>
      <c r="D19" s="64" t="str">
        <f t="shared" si="8"/>
        <v>KOPFAUF Markus</v>
      </c>
      <c r="E19" s="65" t="str">
        <f t="shared" si="9"/>
        <v xml:space="preserve">LRV STEIERMARK </v>
      </c>
      <c r="F19" s="66">
        <f t="shared" si="10"/>
        <v>100827</v>
      </c>
      <c r="G19" s="67" t="str">
        <f t="shared" si="11"/>
        <v>JUNIOR</v>
      </c>
      <c r="H19" s="67" t="str">
        <f t="shared" si="12"/>
        <v>LRV</v>
      </c>
      <c r="I19" s="68">
        <v>7.8287037037037044E-2</v>
      </c>
      <c r="J19" s="31">
        <f t="shared" si="13"/>
        <v>3.587962962963015E-4</v>
      </c>
      <c r="K19" s="31">
        <f t="shared" si="6"/>
        <v>0</v>
      </c>
      <c r="M19" s="31"/>
      <c r="N19" s="31"/>
      <c r="O19" s="31"/>
      <c r="P19" s="150">
        <f t="shared" si="15"/>
        <v>7.8287037037037044E-2</v>
      </c>
      <c r="R19" s="158">
        <v>182</v>
      </c>
      <c r="S19" s="159">
        <v>8</v>
      </c>
      <c r="T19" s="157">
        <f t="shared" si="14"/>
        <v>182</v>
      </c>
      <c r="U19" s="160">
        <v>1</v>
      </c>
      <c r="V19" s="161">
        <v>8</v>
      </c>
      <c r="W19" s="157">
        <f t="shared" si="7"/>
        <v>1</v>
      </c>
    </row>
    <row r="20" spans="1:23" s="69" customFormat="1" ht="13.7" customHeight="1" x14ac:dyDescent="0.25">
      <c r="A20" s="53">
        <v>9</v>
      </c>
      <c r="B20" s="99">
        <v>117</v>
      </c>
      <c r="C20" s="63" t="str">
        <f t="shared" si="0"/>
        <v>GER19971022</v>
      </c>
      <c r="D20" s="64" t="str">
        <f t="shared" si="8"/>
        <v>KANTER Max</v>
      </c>
      <c r="E20" s="65" t="str">
        <f t="shared" si="9"/>
        <v>TEAM BRANDENBURG - RSC COTTBUS</v>
      </c>
      <c r="F20" s="66" t="str">
        <f t="shared" si="10"/>
        <v>044005-11</v>
      </c>
      <c r="G20" s="67" t="str">
        <f t="shared" si="11"/>
        <v>JUNIOR*</v>
      </c>
      <c r="H20" s="67" t="str">
        <f t="shared" si="12"/>
        <v>COT</v>
      </c>
      <c r="I20" s="68">
        <v>7.8287037037037044E-2</v>
      </c>
      <c r="J20" s="31">
        <f t="shared" si="13"/>
        <v>3.587962962963015E-4</v>
      </c>
      <c r="K20" s="31">
        <f t="shared" si="6"/>
        <v>0</v>
      </c>
      <c r="M20" s="31"/>
      <c r="N20" s="31"/>
      <c r="O20" s="31"/>
      <c r="P20" s="150">
        <f t="shared" si="15"/>
        <v>7.8287037037037044E-2</v>
      </c>
      <c r="R20" s="158">
        <v>117</v>
      </c>
      <c r="S20" s="159">
        <v>9</v>
      </c>
      <c r="T20" s="157">
        <f t="shared" si="14"/>
        <v>117</v>
      </c>
      <c r="U20" s="160">
        <v>1</v>
      </c>
      <c r="V20" s="161">
        <v>9</v>
      </c>
      <c r="W20" s="157">
        <f t="shared" si="7"/>
        <v>1</v>
      </c>
    </row>
    <row r="21" spans="1:23" s="69" customFormat="1" ht="13.7" customHeight="1" x14ac:dyDescent="0.25">
      <c r="A21" s="53">
        <v>10</v>
      </c>
      <c r="B21" s="99">
        <v>150</v>
      </c>
      <c r="C21" s="63" t="str">
        <f t="shared" si="0"/>
        <v>CZE19970926</v>
      </c>
      <c r="D21" s="64" t="str">
        <f t="shared" si="8"/>
        <v xml:space="preserve">BRÁZDA Michal </v>
      </c>
      <c r="E21" s="65" t="str">
        <f t="shared" si="9"/>
        <v xml:space="preserve">MAPEI CYKLO KAŇKOVSKÝ </v>
      </c>
      <c r="F21" s="66">
        <f t="shared" si="10"/>
        <v>8547</v>
      </c>
      <c r="G21" s="67" t="str">
        <f t="shared" si="11"/>
        <v>JUNIOR*</v>
      </c>
      <c r="H21" s="67" t="str">
        <f t="shared" si="12"/>
        <v>MAP</v>
      </c>
      <c r="I21" s="68">
        <v>7.8287037037037044E-2</v>
      </c>
      <c r="J21" s="31">
        <f t="shared" si="13"/>
        <v>3.587962962963015E-4</v>
      </c>
      <c r="K21" s="31">
        <f t="shared" si="6"/>
        <v>2.3148148148148147E-5</v>
      </c>
      <c r="M21" s="31">
        <v>2.3148148148148147E-5</v>
      </c>
      <c r="N21" s="31"/>
      <c r="O21" s="31"/>
      <c r="P21" s="150">
        <f t="shared" si="15"/>
        <v>7.8263888888888897E-2</v>
      </c>
      <c r="R21" s="158">
        <v>150</v>
      </c>
      <c r="S21" s="159">
        <v>10</v>
      </c>
      <c r="T21" s="157">
        <f t="shared" si="14"/>
        <v>150</v>
      </c>
      <c r="U21" s="160">
        <v>1</v>
      </c>
      <c r="V21" s="161">
        <v>10</v>
      </c>
      <c r="W21" s="157">
        <f t="shared" si="7"/>
        <v>1</v>
      </c>
    </row>
    <row r="22" spans="1:23" s="69" customFormat="1" ht="13.7" customHeight="1" x14ac:dyDescent="0.25">
      <c r="A22" s="53">
        <v>11</v>
      </c>
      <c r="B22" s="99">
        <v>83</v>
      </c>
      <c r="C22" s="63" t="str">
        <f t="shared" si="0"/>
        <v>CZE19960724</v>
      </c>
      <c r="D22" s="64" t="str">
        <f t="shared" si="8"/>
        <v xml:space="preserve">BECHYNĚ Matěj </v>
      </c>
      <c r="E22" s="65" t="str">
        <f t="shared" si="9"/>
        <v>VZW TIELTSE RENNERSCLUB - JIELKER GELDHOF</v>
      </c>
      <c r="F22" s="66">
        <f t="shared" si="10"/>
        <v>14315</v>
      </c>
      <c r="G22" s="67" t="str">
        <f t="shared" si="11"/>
        <v>JUNIOR</v>
      </c>
      <c r="H22" s="67" t="str">
        <f t="shared" si="12"/>
        <v>KOV</v>
      </c>
      <c r="I22" s="68">
        <v>7.8287037037037044E-2</v>
      </c>
      <c r="J22" s="31">
        <f t="shared" si="13"/>
        <v>3.587962962963015E-4</v>
      </c>
      <c r="K22" s="31">
        <f t="shared" si="6"/>
        <v>0</v>
      </c>
      <c r="M22" s="31"/>
      <c r="N22" s="31"/>
      <c r="O22" s="31"/>
      <c r="P22" s="150">
        <f t="shared" si="15"/>
        <v>7.8287037037037044E-2</v>
      </c>
      <c r="R22" s="158">
        <v>83</v>
      </c>
      <c r="S22" s="159">
        <v>11</v>
      </c>
      <c r="T22" s="157">
        <f t="shared" si="14"/>
        <v>83</v>
      </c>
      <c r="U22" s="160">
        <v>1</v>
      </c>
      <c r="V22" s="161">
        <v>11</v>
      </c>
      <c r="W22" s="157">
        <f t="shared" si="7"/>
        <v>1</v>
      </c>
    </row>
    <row r="23" spans="1:23" s="69" customFormat="1" ht="13.7" customHeight="1" x14ac:dyDescent="0.25">
      <c r="A23" s="53">
        <v>12</v>
      </c>
      <c r="B23" s="99">
        <v>165</v>
      </c>
      <c r="C23" s="63" t="str">
        <f t="shared" si="0"/>
        <v>RUS19960517</v>
      </c>
      <c r="D23" s="64" t="str">
        <f t="shared" si="8"/>
        <v xml:space="preserve">MARTYSHEV Aleksandr </v>
      </c>
      <c r="E23" s="65" t="str">
        <f t="shared" si="9"/>
        <v>RUSSIAN CYCLING FEDERATION</v>
      </c>
      <c r="F23" s="66" t="str">
        <f t="shared" si="10"/>
        <v>B0270</v>
      </c>
      <c r="G23" s="67" t="str">
        <f t="shared" si="11"/>
        <v>JUNIOR</v>
      </c>
      <c r="H23" s="67" t="str">
        <f t="shared" si="12"/>
        <v>RUS</v>
      </c>
      <c r="I23" s="68">
        <v>7.8287037037037044E-2</v>
      </c>
      <c r="J23" s="31">
        <f t="shared" si="13"/>
        <v>3.587962962963015E-4</v>
      </c>
      <c r="K23" s="31">
        <f t="shared" si="6"/>
        <v>0</v>
      </c>
      <c r="M23" s="31"/>
      <c r="N23" s="31"/>
      <c r="O23" s="31"/>
      <c r="P23" s="150">
        <f t="shared" si="15"/>
        <v>7.8287037037037044E-2</v>
      </c>
      <c r="R23" s="158">
        <v>165</v>
      </c>
      <c r="S23" s="159">
        <v>12</v>
      </c>
      <c r="T23" s="157">
        <f t="shared" si="14"/>
        <v>165</v>
      </c>
      <c r="U23" s="160">
        <v>1</v>
      </c>
      <c r="V23" s="161">
        <v>12</v>
      </c>
      <c r="W23" s="157">
        <f t="shared" si="7"/>
        <v>1</v>
      </c>
    </row>
    <row r="24" spans="1:23" s="69" customFormat="1" ht="13.7" customHeight="1" x14ac:dyDescent="0.25">
      <c r="A24" s="53">
        <v>13</v>
      </c>
      <c r="B24" s="99">
        <v>137</v>
      </c>
      <c r="C24" s="63" t="str">
        <f t="shared" si="0"/>
        <v>AUT19960713</v>
      </c>
      <c r="D24" s="64" t="str">
        <f t="shared" si="8"/>
        <v>PÖPPL Tobias</v>
      </c>
      <c r="E24" s="65" t="str">
        <f t="shared" si="9"/>
        <v>RC WALDING</v>
      </c>
      <c r="F24" s="66">
        <f t="shared" si="10"/>
        <v>100289</v>
      </c>
      <c r="G24" s="67" t="str">
        <f t="shared" si="11"/>
        <v>JUNIOR</v>
      </c>
      <c r="H24" s="67" t="str">
        <f t="shared" si="12"/>
        <v>RCA</v>
      </c>
      <c r="I24" s="68">
        <v>7.8287037037037044E-2</v>
      </c>
      <c r="J24" s="31">
        <f t="shared" si="13"/>
        <v>3.587962962963015E-4</v>
      </c>
      <c r="K24" s="31">
        <f t="shared" si="6"/>
        <v>0</v>
      </c>
      <c r="M24" s="31"/>
      <c r="N24" s="31"/>
      <c r="O24" s="31"/>
      <c r="P24" s="150">
        <f t="shared" si="15"/>
        <v>7.8287037037037044E-2</v>
      </c>
      <c r="R24" s="158">
        <v>137</v>
      </c>
      <c r="S24" s="159">
        <v>13</v>
      </c>
      <c r="T24" s="157">
        <f t="shared" si="14"/>
        <v>137</v>
      </c>
      <c r="U24" s="160">
        <v>1</v>
      </c>
      <c r="V24" s="161">
        <v>13</v>
      </c>
      <c r="W24" s="157">
        <f t="shared" si="7"/>
        <v>1</v>
      </c>
    </row>
    <row r="25" spans="1:23" s="69" customFormat="1" ht="13.7" customHeight="1" x14ac:dyDescent="0.25">
      <c r="A25" s="53">
        <v>14</v>
      </c>
      <c r="B25" s="99">
        <v>7</v>
      </c>
      <c r="C25" s="63" t="str">
        <f t="shared" si="0"/>
        <v>GER19970419</v>
      </c>
      <c r="D25" s="64" t="str">
        <f t="shared" si="8"/>
        <v>BURCHARDT Karl</v>
      </c>
      <c r="E25" s="65" t="str">
        <f t="shared" si="9"/>
        <v>RSC TURBINE ERFURT</v>
      </c>
      <c r="F25" s="66" t="str">
        <f t="shared" si="10"/>
        <v>THÜ173418</v>
      </c>
      <c r="G25" s="67" t="str">
        <f t="shared" si="11"/>
        <v>JUNIOR*</v>
      </c>
      <c r="H25" s="67" t="str">
        <f t="shared" si="12"/>
        <v>TUR</v>
      </c>
      <c r="I25" s="68">
        <v>7.8287037037037044E-2</v>
      </c>
      <c r="J25" s="31">
        <f t="shared" si="13"/>
        <v>3.587962962963015E-4</v>
      </c>
      <c r="K25" s="31">
        <f t="shared" si="6"/>
        <v>0</v>
      </c>
      <c r="M25" s="31"/>
      <c r="N25" s="31"/>
      <c r="O25" s="31"/>
      <c r="P25" s="150">
        <f t="shared" si="15"/>
        <v>7.8287037037037044E-2</v>
      </c>
      <c r="R25" s="158">
        <v>7</v>
      </c>
      <c r="S25" s="159">
        <v>14</v>
      </c>
      <c r="T25" s="157">
        <f t="shared" si="14"/>
        <v>7</v>
      </c>
      <c r="U25" s="160">
        <v>1</v>
      </c>
      <c r="V25" s="161">
        <v>14</v>
      </c>
      <c r="W25" s="157">
        <f t="shared" si="7"/>
        <v>1</v>
      </c>
    </row>
    <row r="26" spans="1:23" s="69" customFormat="1" ht="13.7" customHeight="1" x14ac:dyDescent="0.25">
      <c r="A26" s="53">
        <v>15</v>
      </c>
      <c r="B26" s="99">
        <v>85</v>
      </c>
      <c r="C26" s="63" t="str">
        <f t="shared" si="0"/>
        <v>CZE19970804</v>
      </c>
      <c r="D26" s="64" t="str">
        <f t="shared" si="8"/>
        <v xml:space="preserve">SPUDIL Martin </v>
      </c>
      <c r="E26" s="65" t="str">
        <f t="shared" si="9"/>
        <v xml:space="preserve">SP KOLO LOAP SPECIALIZED </v>
      </c>
      <c r="F26" s="66">
        <f t="shared" si="10"/>
        <v>10880</v>
      </c>
      <c r="G26" s="67" t="str">
        <f t="shared" si="11"/>
        <v>JUNIOR*</v>
      </c>
      <c r="H26" s="67" t="str">
        <f t="shared" si="12"/>
        <v>KOV</v>
      </c>
      <c r="I26" s="68">
        <v>7.8287037037037044E-2</v>
      </c>
      <c r="J26" s="31">
        <f t="shared" si="13"/>
        <v>3.587962962963015E-4</v>
      </c>
      <c r="K26" s="31">
        <f t="shared" si="6"/>
        <v>0</v>
      </c>
      <c r="M26" s="31"/>
      <c r="N26" s="31"/>
      <c r="O26" s="31"/>
      <c r="P26" s="150">
        <f t="shared" si="15"/>
        <v>7.8287037037037044E-2</v>
      </c>
      <c r="R26" s="158">
        <v>85</v>
      </c>
      <c r="S26" s="159">
        <v>15</v>
      </c>
      <c r="T26" s="157">
        <f t="shared" si="14"/>
        <v>85</v>
      </c>
      <c r="U26" s="160">
        <v>1</v>
      </c>
      <c r="V26" s="161">
        <v>15</v>
      </c>
      <c r="W26" s="157">
        <f t="shared" si="7"/>
        <v>1</v>
      </c>
    </row>
    <row r="27" spans="1:23" s="69" customFormat="1" ht="13.7" customHeight="1" x14ac:dyDescent="0.25">
      <c r="A27" s="53">
        <v>16</v>
      </c>
      <c r="B27" s="99">
        <v>175</v>
      </c>
      <c r="C27" s="63" t="str">
        <f t="shared" si="0"/>
        <v>SVK19960415</v>
      </c>
      <c r="D27" s="64" t="str">
        <f t="shared" si="8"/>
        <v>ZVERKO David</v>
      </c>
      <c r="E27" s="65" t="str">
        <f t="shared" si="9"/>
        <v xml:space="preserve">SLOVAK CYCLING FEDERATION </v>
      </c>
      <c r="F27" s="66">
        <f t="shared" si="10"/>
        <v>5674</v>
      </c>
      <c r="G27" s="67" t="str">
        <f t="shared" si="11"/>
        <v>JUNIOR</v>
      </c>
      <c r="H27" s="67" t="str">
        <f t="shared" si="12"/>
        <v>SVK</v>
      </c>
      <c r="I27" s="68">
        <v>7.8287037037037044E-2</v>
      </c>
      <c r="J27" s="31">
        <f t="shared" si="13"/>
        <v>3.587962962963015E-4</v>
      </c>
      <c r="K27" s="31">
        <f t="shared" si="6"/>
        <v>3.4722222222222222E-5</v>
      </c>
      <c r="M27" s="31">
        <v>3.4722222222222222E-5</v>
      </c>
      <c r="N27" s="31"/>
      <c r="O27" s="31"/>
      <c r="P27" s="150">
        <f t="shared" si="15"/>
        <v>7.8252314814814816E-2</v>
      </c>
      <c r="R27" s="158">
        <v>175</v>
      </c>
      <c r="S27" s="159">
        <v>16</v>
      </c>
      <c r="T27" s="157">
        <f t="shared" si="14"/>
        <v>175</v>
      </c>
      <c r="U27" s="160">
        <v>1</v>
      </c>
      <c r="V27" s="161">
        <v>16</v>
      </c>
      <c r="W27" s="157">
        <f t="shared" si="7"/>
        <v>1</v>
      </c>
    </row>
    <row r="28" spans="1:23" s="69" customFormat="1" ht="13.7" customHeight="1" x14ac:dyDescent="0.25">
      <c r="A28" s="53">
        <v>17</v>
      </c>
      <c r="B28" s="99">
        <v>147</v>
      </c>
      <c r="C28" s="63" t="str">
        <f t="shared" si="0"/>
        <v>CZE19960618</v>
      </c>
      <c r="D28" s="64" t="str">
        <f t="shared" si="8"/>
        <v xml:space="preserve">PETRUŠ Jiří </v>
      </c>
      <c r="E28" s="65" t="str">
        <f t="shared" si="9"/>
        <v xml:space="preserve">MAPEI CYKLO KAŇKOVSKÝ </v>
      </c>
      <c r="F28" s="66">
        <f t="shared" si="10"/>
        <v>12841</v>
      </c>
      <c r="G28" s="67" t="str">
        <f t="shared" si="11"/>
        <v>JUNIOR</v>
      </c>
      <c r="H28" s="67" t="str">
        <f t="shared" si="12"/>
        <v>MAP</v>
      </c>
      <c r="I28" s="68">
        <v>7.8287037037037044E-2</v>
      </c>
      <c r="J28" s="31">
        <f t="shared" si="13"/>
        <v>3.587962962963015E-4</v>
      </c>
      <c r="K28" s="31">
        <f t="shared" si="6"/>
        <v>0</v>
      </c>
      <c r="M28" s="31"/>
      <c r="N28" s="31"/>
      <c r="O28" s="31"/>
      <c r="P28" s="150">
        <f t="shared" si="15"/>
        <v>7.8287037037037044E-2</v>
      </c>
      <c r="R28" s="158">
        <v>147</v>
      </c>
      <c r="S28" s="159">
        <v>17</v>
      </c>
      <c r="T28" s="157">
        <f t="shared" si="14"/>
        <v>147</v>
      </c>
      <c r="U28" s="160">
        <v>1</v>
      </c>
      <c r="V28" s="161">
        <v>17</v>
      </c>
      <c r="W28" s="157">
        <f t="shared" si="7"/>
        <v>1</v>
      </c>
    </row>
    <row r="29" spans="1:23" s="69" customFormat="1" ht="13.7" customHeight="1" x14ac:dyDescent="0.25">
      <c r="A29" s="53">
        <v>18</v>
      </c>
      <c r="B29" s="99">
        <v>161</v>
      </c>
      <c r="C29" s="63" t="str">
        <f t="shared" si="0"/>
        <v>RUS19970210</v>
      </c>
      <c r="D29" s="64" t="str">
        <f t="shared" si="8"/>
        <v>GRISHIN Maksim</v>
      </c>
      <c r="E29" s="65" t="str">
        <f t="shared" si="9"/>
        <v>RUSSIAN CYCLING FEDERATION</v>
      </c>
      <c r="F29" s="66" t="str">
        <f t="shared" si="10"/>
        <v>B0280</v>
      </c>
      <c r="G29" s="67" t="str">
        <f t="shared" si="11"/>
        <v>JUNIOR*</v>
      </c>
      <c r="H29" s="67" t="str">
        <f t="shared" si="12"/>
        <v>RUS</v>
      </c>
      <c r="I29" s="68">
        <v>7.8287037037037044E-2</v>
      </c>
      <c r="J29" s="31">
        <f t="shared" si="13"/>
        <v>3.587962962963015E-4</v>
      </c>
      <c r="K29" s="31">
        <f t="shared" si="6"/>
        <v>0</v>
      </c>
      <c r="M29" s="31"/>
      <c r="N29" s="31"/>
      <c r="O29" s="31"/>
      <c r="P29" s="150">
        <f t="shared" si="15"/>
        <v>7.8287037037037044E-2</v>
      </c>
      <c r="R29" s="158">
        <v>161</v>
      </c>
      <c r="S29" s="159">
        <v>18</v>
      </c>
      <c r="T29" s="157">
        <f t="shared" si="14"/>
        <v>161</v>
      </c>
      <c r="U29" s="160">
        <v>1</v>
      </c>
      <c r="V29" s="161">
        <v>18</v>
      </c>
      <c r="W29" s="157">
        <f t="shared" si="7"/>
        <v>1</v>
      </c>
    </row>
    <row r="30" spans="1:23" s="69" customFormat="1" ht="13.7" customHeight="1" x14ac:dyDescent="0.25">
      <c r="A30" s="53">
        <v>19</v>
      </c>
      <c r="B30" s="99">
        <v>5</v>
      </c>
      <c r="C30" s="63" t="str">
        <f t="shared" si="0"/>
        <v>GER19960418</v>
      </c>
      <c r="D30" s="64" t="str">
        <f t="shared" si="8"/>
        <v>JÄGELER Robert</v>
      </c>
      <c r="E30" s="65" t="str">
        <f t="shared" si="9"/>
        <v>RV ELXLEBEN</v>
      </c>
      <c r="F30" s="66" t="str">
        <f t="shared" si="10"/>
        <v>THÜ172211</v>
      </c>
      <c r="G30" s="67" t="str">
        <f t="shared" si="11"/>
        <v>JUNIOR</v>
      </c>
      <c r="H30" s="67" t="str">
        <f t="shared" si="12"/>
        <v>TUR</v>
      </c>
      <c r="I30" s="68">
        <v>7.8287037037037044E-2</v>
      </c>
      <c r="J30" s="31">
        <f t="shared" si="13"/>
        <v>3.587962962963015E-4</v>
      </c>
      <c r="K30" s="31">
        <f t="shared" si="6"/>
        <v>0</v>
      </c>
      <c r="M30" s="31"/>
      <c r="N30" s="31"/>
      <c r="O30" s="31"/>
      <c r="P30" s="150">
        <f t="shared" si="15"/>
        <v>7.8287037037037044E-2</v>
      </c>
      <c r="R30" s="158">
        <v>5</v>
      </c>
      <c r="S30" s="159">
        <v>19</v>
      </c>
      <c r="T30" s="157">
        <f t="shared" si="14"/>
        <v>5</v>
      </c>
      <c r="U30" s="160">
        <v>1</v>
      </c>
      <c r="V30" s="161">
        <v>21</v>
      </c>
      <c r="W30" s="157">
        <f t="shared" si="7"/>
        <v>1</v>
      </c>
    </row>
    <row r="31" spans="1:23" s="69" customFormat="1" ht="13.7" customHeight="1" x14ac:dyDescent="0.25">
      <c r="A31" s="53">
        <v>20</v>
      </c>
      <c r="B31" s="99">
        <v>101</v>
      </c>
      <c r="C31" s="63" t="str">
        <f t="shared" si="0"/>
        <v>CZE19970829</v>
      </c>
      <c r="D31" s="64" t="str">
        <f t="shared" si="8"/>
        <v xml:space="preserve">BAŘTIPÁN Josef </v>
      </c>
      <c r="E31" s="65" t="str">
        <f t="shared" si="9"/>
        <v xml:space="preserve">TJ STADION LOUNY </v>
      </c>
      <c r="F31" s="66">
        <f t="shared" si="10"/>
        <v>9818</v>
      </c>
      <c r="G31" s="67" t="str">
        <f t="shared" si="11"/>
        <v>JUNIOR*</v>
      </c>
      <c r="H31" s="67" t="str">
        <f t="shared" si="12"/>
        <v>LOU</v>
      </c>
      <c r="I31" s="68">
        <v>7.8287037037037044E-2</v>
      </c>
      <c r="J31" s="31">
        <f t="shared" si="13"/>
        <v>3.587962962963015E-4</v>
      </c>
      <c r="K31" s="31">
        <f t="shared" si="6"/>
        <v>0</v>
      </c>
      <c r="M31" s="31"/>
      <c r="N31" s="31"/>
      <c r="O31" s="31"/>
      <c r="P31" s="150">
        <f t="shared" si="15"/>
        <v>7.8287037037037044E-2</v>
      </c>
      <c r="R31" s="158">
        <v>101</v>
      </c>
      <c r="S31" s="159">
        <v>20</v>
      </c>
      <c r="T31" s="157">
        <f t="shared" si="14"/>
        <v>101</v>
      </c>
      <c r="U31" s="160">
        <v>1</v>
      </c>
      <c r="V31" s="161">
        <v>22</v>
      </c>
      <c r="W31" s="157">
        <f t="shared" si="7"/>
        <v>1</v>
      </c>
    </row>
    <row r="32" spans="1:23" s="69" customFormat="1" ht="13.7" customHeight="1" x14ac:dyDescent="0.25">
      <c r="A32" s="53">
        <v>21</v>
      </c>
      <c r="B32" s="99">
        <v>124</v>
      </c>
      <c r="C32" s="63" t="str">
        <f t="shared" si="0"/>
        <v>CZE19970613</v>
      </c>
      <c r="D32" s="64" t="str">
        <f t="shared" si="8"/>
        <v xml:space="preserve">ŠÁNA Jiří </v>
      </c>
      <c r="E32" s="65" t="str">
        <f t="shared" si="9"/>
        <v xml:space="preserve">SKC TUFO PROSTĚJOV </v>
      </c>
      <c r="F32" s="66">
        <f t="shared" si="10"/>
        <v>8743</v>
      </c>
      <c r="G32" s="67" t="str">
        <f t="shared" si="11"/>
        <v>JUNIOR*</v>
      </c>
      <c r="H32" s="67" t="str">
        <f t="shared" si="12"/>
        <v>SKC</v>
      </c>
      <c r="I32" s="68">
        <v>7.8287037037037044E-2</v>
      </c>
      <c r="J32" s="31">
        <f t="shared" si="13"/>
        <v>3.587962962963015E-4</v>
      </c>
      <c r="K32" s="31">
        <f t="shared" si="6"/>
        <v>0</v>
      </c>
      <c r="M32" s="31"/>
      <c r="N32" s="31"/>
      <c r="O32" s="31"/>
      <c r="P32" s="150">
        <f t="shared" si="15"/>
        <v>7.8287037037037044E-2</v>
      </c>
      <c r="R32" s="158">
        <v>124</v>
      </c>
      <c r="S32" s="159">
        <v>21</v>
      </c>
      <c r="T32" s="157">
        <f t="shared" si="14"/>
        <v>124</v>
      </c>
      <c r="U32" s="160">
        <v>1</v>
      </c>
      <c r="V32" s="161">
        <v>23</v>
      </c>
      <c r="W32" s="157">
        <f t="shared" si="7"/>
        <v>1</v>
      </c>
    </row>
    <row r="33" spans="1:23" s="69" customFormat="1" ht="13.7" customHeight="1" x14ac:dyDescent="0.25">
      <c r="A33" s="53">
        <v>22</v>
      </c>
      <c r="B33" s="99">
        <v>171</v>
      </c>
      <c r="C33" s="63" t="str">
        <f t="shared" si="0"/>
        <v>SVK19970301</v>
      </c>
      <c r="D33" s="64" t="str">
        <f t="shared" si="8"/>
        <v>KNIHA Ladislav</v>
      </c>
      <c r="E33" s="65" t="str">
        <f t="shared" si="9"/>
        <v xml:space="preserve">SLOVAK CYCLING FEDERATION </v>
      </c>
      <c r="F33" s="66">
        <f t="shared" si="10"/>
        <v>6788</v>
      </c>
      <c r="G33" s="67" t="str">
        <f t="shared" si="11"/>
        <v>JUNIOR*</v>
      </c>
      <c r="H33" s="67" t="str">
        <f t="shared" si="12"/>
        <v>SVK</v>
      </c>
      <c r="I33" s="68">
        <v>7.8287037037037044E-2</v>
      </c>
      <c r="J33" s="31">
        <f t="shared" si="13"/>
        <v>3.587962962963015E-4</v>
      </c>
      <c r="K33" s="31">
        <f t="shared" si="6"/>
        <v>0</v>
      </c>
      <c r="M33" s="31"/>
      <c r="N33" s="31"/>
      <c r="O33" s="31"/>
      <c r="P33" s="150">
        <f t="shared" si="15"/>
        <v>7.8287037037037044E-2</v>
      </c>
      <c r="R33" s="158">
        <v>171</v>
      </c>
      <c r="S33" s="159">
        <v>22</v>
      </c>
      <c r="T33" s="157">
        <f t="shared" si="14"/>
        <v>171</v>
      </c>
      <c r="U33" s="160">
        <v>1</v>
      </c>
      <c r="V33" s="161">
        <v>24</v>
      </c>
      <c r="W33" s="157">
        <f t="shared" si="7"/>
        <v>1</v>
      </c>
    </row>
    <row r="34" spans="1:23" s="69" customFormat="1" ht="13.7" customHeight="1" x14ac:dyDescent="0.25">
      <c r="A34" s="53">
        <v>23</v>
      </c>
      <c r="B34" s="99">
        <v>106</v>
      </c>
      <c r="C34" s="63" t="str">
        <f t="shared" si="0"/>
        <v>CZE19970109</v>
      </c>
      <c r="D34" s="64" t="str">
        <f t="shared" si="8"/>
        <v xml:space="preserve">SVATEK Miroslav </v>
      </c>
      <c r="E34" s="65" t="str">
        <f t="shared" si="9"/>
        <v xml:space="preserve">PROFI SPORT CHEB </v>
      </c>
      <c r="F34" s="66">
        <f t="shared" si="10"/>
        <v>9623</v>
      </c>
      <c r="G34" s="67" t="str">
        <f t="shared" si="11"/>
        <v>JUNIOR*</v>
      </c>
      <c r="H34" s="67" t="str">
        <f t="shared" si="12"/>
        <v>LOU</v>
      </c>
      <c r="I34" s="68">
        <v>7.8287037037037044E-2</v>
      </c>
      <c r="J34" s="31">
        <f t="shared" si="13"/>
        <v>3.587962962963015E-4</v>
      </c>
      <c r="K34" s="31">
        <f t="shared" si="6"/>
        <v>0</v>
      </c>
      <c r="M34" s="31"/>
      <c r="N34" s="31"/>
      <c r="O34" s="31"/>
      <c r="P34" s="150">
        <f t="shared" si="15"/>
        <v>7.8287037037037044E-2</v>
      </c>
      <c r="R34" s="158">
        <v>106</v>
      </c>
      <c r="S34" s="159">
        <v>23</v>
      </c>
      <c r="T34" s="157">
        <f t="shared" si="14"/>
        <v>106</v>
      </c>
      <c r="U34" s="160">
        <v>1</v>
      </c>
      <c r="V34" s="161">
        <v>31</v>
      </c>
      <c r="W34" s="157">
        <f t="shared" si="7"/>
        <v>1</v>
      </c>
    </row>
    <row r="35" spans="1:23" s="69" customFormat="1" ht="13.7" customHeight="1" x14ac:dyDescent="0.25">
      <c r="A35" s="53">
        <v>24</v>
      </c>
      <c r="B35" s="99">
        <v>185</v>
      </c>
      <c r="C35" s="63" t="str">
        <f t="shared" si="0"/>
        <v>AUT19960302</v>
      </c>
      <c r="D35" s="64" t="str">
        <f t="shared" si="8"/>
        <v>TAFERNER Stefan</v>
      </c>
      <c r="E35" s="65" t="str">
        <f t="shared" si="9"/>
        <v xml:space="preserve">LRV STEIERMARK </v>
      </c>
      <c r="F35" s="66">
        <f t="shared" si="10"/>
        <v>100831</v>
      </c>
      <c r="G35" s="67" t="str">
        <f t="shared" si="11"/>
        <v>JUNIOR</v>
      </c>
      <c r="H35" s="67" t="str">
        <f t="shared" si="12"/>
        <v>LRV</v>
      </c>
      <c r="I35" s="68">
        <v>7.8287037037037044E-2</v>
      </c>
      <c r="J35" s="31">
        <f t="shared" si="13"/>
        <v>3.587962962963015E-4</v>
      </c>
      <c r="K35" s="31">
        <f t="shared" si="6"/>
        <v>0</v>
      </c>
      <c r="M35" s="31"/>
      <c r="N35" s="31"/>
      <c r="O35" s="31"/>
      <c r="P35" s="150">
        <f t="shared" si="15"/>
        <v>7.8287037037037044E-2</v>
      </c>
      <c r="R35" s="158">
        <v>185</v>
      </c>
      <c r="S35" s="159">
        <v>24</v>
      </c>
      <c r="T35" s="157">
        <f t="shared" si="14"/>
        <v>185</v>
      </c>
      <c r="U35" s="160">
        <v>1</v>
      </c>
      <c r="V35" s="161">
        <v>32</v>
      </c>
      <c r="W35" s="157">
        <f t="shared" si="7"/>
        <v>1</v>
      </c>
    </row>
    <row r="36" spans="1:23" s="69" customFormat="1" ht="13.7" customHeight="1" x14ac:dyDescent="0.25">
      <c r="A36" s="53">
        <v>25</v>
      </c>
      <c r="B36" s="99">
        <v>173</v>
      </c>
      <c r="C36" s="63" t="str">
        <f t="shared" si="0"/>
        <v>SVK19970117</v>
      </c>
      <c r="D36" s="64" t="str">
        <f t="shared" si="8"/>
        <v>PORUBAN Dominik</v>
      </c>
      <c r="E36" s="65" t="str">
        <f t="shared" si="9"/>
        <v xml:space="preserve">SLOVAK CYCLING FEDERATION </v>
      </c>
      <c r="F36" s="66">
        <f t="shared" si="10"/>
        <v>6477</v>
      </c>
      <c r="G36" s="67" t="str">
        <f t="shared" si="11"/>
        <v>JUNIOR*</v>
      </c>
      <c r="H36" s="67" t="str">
        <f t="shared" si="12"/>
        <v>SVK</v>
      </c>
      <c r="I36" s="68">
        <v>7.8287037037037044E-2</v>
      </c>
      <c r="J36" s="31">
        <f t="shared" si="13"/>
        <v>3.587962962963015E-4</v>
      </c>
      <c r="K36" s="31">
        <f t="shared" si="6"/>
        <v>0</v>
      </c>
      <c r="M36" s="31"/>
      <c r="N36" s="31"/>
      <c r="O36" s="31"/>
      <c r="P36" s="150">
        <f t="shared" si="15"/>
        <v>7.8287037037037044E-2</v>
      </c>
      <c r="R36" s="158">
        <v>173</v>
      </c>
      <c r="S36" s="159">
        <v>25</v>
      </c>
      <c r="T36" s="157">
        <f t="shared" si="14"/>
        <v>173</v>
      </c>
      <c r="U36" s="160">
        <v>1</v>
      </c>
      <c r="V36" s="161">
        <v>33</v>
      </c>
      <c r="W36" s="157">
        <f t="shared" si="7"/>
        <v>0</v>
      </c>
    </row>
    <row r="37" spans="1:23" s="69" customFormat="1" ht="13.7" customHeight="1" x14ac:dyDescent="0.25">
      <c r="A37" s="53">
        <v>26</v>
      </c>
      <c r="B37" s="99">
        <v>166</v>
      </c>
      <c r="C37" s="63" t="str">
        <f t="shared" si="0"/>
        <v>RUS19960101</v>
      </c>
      <c r="D37" s="64" t="str">
        <f t="shared" si="8"/>
        <v xml:space="preserve">BEZDENEZHNYKH Vadim </v>
      </c>
      <c r="E37" s="65" t="str">
        <f t="shared" si="9"/>
        <v>RUSSIAN CYCLING FEDERATION</v>
      </c>
      <c r="F37" s="66" t="str">
        <f t="shared" si="10"/>
        <v>B0271</v>
      </c>
      <c r="G37" s="67" t="str">
        <f t="shared" si="11"/>
        <v>JUNIOR</v>
      </c>
      <c r="H37" s="67" t="str">
        <f t="shared" si="12"/>
        <v>RUS</v>
      </c>
      <c r="I37" s="68">
        <v>7.8287037037037044E-2</v>
      </c>
      <c r="J37" s="31">
        <f t="shared" si="13"/>
        <v>3.587962962963015E-4</v>
      </c>
      <c r="K37" s="31">
        <f t="shared" si="6"/>
        <v>0</v>
      </c>
      <c r="M37" s="31"/>
      <c r="N37" s="31"/>
      <c r="O37" s="31"/>
      <c r="P37" s="150">
        <f t="shared" si="15"/>
        <v>7.8287037037037044E-2</v>
      </c>
      <c r="R37" s="158">
        <v>166</v>
      </c>
      <c r="S37" s="159">
        <v>26</v>
      </c>
      <c r="T37" s="157">
        <f t="shared" si="14"/>
        <v>166</v>
      </c>
      <c r="U37" s="160">
        <v>1</v>
      </c>
      <c r="V37" s="161">
        <v>34</v>
      </c>
      <c r="W37" s="157">
        <f t="shared" si="7"/>
        <v>1</v>
      </c>
    </row>
    <row r="38" spans="1:23" s="69" customFormat="1" ht="13.7" customHeight="1" x14ac:dyDescent="0.25">
      <c r="A38" s="53">
        <v>27</v>
      </c>
      <c r="B38" s="99">
        <v>3</v>
      </c>
      <c r="C38" s="63" t="str">
        <f t="shared" si="0"/>
        <v>GER19970102</v>
      </c>
      <c r="D38" s="64" t="str">
        <f t="shared" si="8"/>
        <v>ZEISE Paul</v>
      </c>
      <c r="E38" s="65" t="str">
        <f t="shared" si="9"/>
        <v>RSC TURBINE ERFURT</v>
      </c>
      <c r="F38" s="66" t="str">
        <f t="shared" si="10"/>
        <v>THÜ173430</v>
      </c>
      <c r="G38" s="67" t="str">
        <f t="shared" si="11"/>
        <v>JUNIOR*</v>
      </c>
      <c r="H38" s="67" t="str">
        <f t="shared" si="12"/>
        <v>TUR</v>
      </c>
      <c r="I38" s="68">
        <v>7.8287037037037044E-2</v>
      </c>
      <c r="J38" s="31">
        <f t="shared" si="13"/>
        <v>3.587962962963015E-4</v>
      </c>
      <c r="K38" s="31">
        <f t="shared" si="6"/>
        <v>0</v>
      </c>
      <c r="M38" s="31"/>
      <c r="N38" s="31"/>
      <c r="O38" s="31"/>
      <c r="P38" s="150">
        <f t="shared" si="15"/>
        <v>7.8287037037037044E-2</v>
      </c>
      <c r="R38" s="158">
        <v>3</v>
      </c>
      <c r="S38" s="159">
        <v>27</v>
      </c>
      <c r="T38" s="157">
        <f t="shared" si="14"/>
        <v>3</v>
      </c>
      <c r="U38" s="160">
        <v>1</v>
      </c>
      <c r="V38" s="161">
        <v>35</v>
      </c>
      <c r="W38" s="157">
        <f t="shared" si="7"/>
        <v>1</v>
      </c>
    </row>
    <row r="39" spans="1:23" s="69" customFormat="1" ht="13.7" customHeight="1" x14ac:dyDescent="0.25">
      <c r="A39" s="53">
        <v>28</v>
      </c>
      <c r="B39" s="99">
        <v>34</v>
      </c>
      <c r="C39" s="63" t="str">
        <f t="shared" si="0"/>
        <v>CZE19960513</v>
      </c>
      <c r="D39" s="64" t="str">
        <f t="shared" si="8"/>
        <v xml:space="preserve">SCHUBERT Štěpán </v>
      </c>
      <c r="E39" s="65" t="str">
        <f t="shared" si="9"/>
        <v xml:space="preserve">REMERX MERIDA TEAM JUNIOR </v>
      </c>
      <c r="F39" s="66">
        <f t="shared" si="10"/>
        <v>19574</v>
      </c>
      <c r="G39" s="67" t="str">
        <f t="shared" si="11"/>
        <v>JUNIOR</v>
      </c>
      <c r="H39" s="67" t="str">
        <f t="shared" si="12"/>
        <v>REM</v>
      </c>
      <c r="I39" s="68">
        <v>7.8287037037037044E-2</v>
      </c>
      <c r="J39" s="31">
        <f t="shared" si="13"/>
        <v>3.587962962963015E-4</v>
      </c>
      <c r="K39" s="31">
        <f t="shared" si="6"/>
        <v>0</v>
      </c>
      <c r="M39" s="31"/>
      <c r="N39" s="31"/>
      <c r="O39" s="31"/>
      <c r="P39" s="150">
        <f t="shared" si="15"/>
        <v>7.8287037037037044E-2</v>
      </c>
      <c r="R39" s="158">
        <v>34</v>
      </c>
      <c r="S39" s="159">
        <v>28</v>
      </c>
      <c r="T39" s="157">
        <f t="shared" si="14"/>
        <v>34</v>
      </c>
      <c r="U39" s="160">
        <v>1</v>
      </c>
      <c r="V39" s="161">
        <v>41</v>
      </c>
      <c r="W39" s="157">
        <f t="shared" si="7"/>
        <v>1</v>
      </c>
    </row>
    <row r="40" spans="1:23" s="69" customFormat="1" ht="13.7" customHeight="1" x14ac:dyDescent="0.25">
      <c r="A40" s="53">
        <v>29</v>
      </c>
      <c r="B40" s="99">
        <v>22</v>
      </c>
      <c r="C40" s="63" t="str">
        <f t="shared" si="0"/>
        <v>GER19980505</v>
      </c>
      <c r="D40" s="64" t="str">
        <f t="shared" si="8"/>
        <v>HAUPT Tarik</v>
      </c>
      <c r="E40" s="65" t="str">
        <f t="shared" si="9"/>
        <v>RG BERLIN</v>
      </c>
      <c r="F40" s="66" t="str">
        <f t="shared" si="10"/>
        <v>BER 032308</v>
      </c>
      <c r="G40" s="67" t="str">
        <f t="shared" si="11"/>
        <v>CADET</v>
      </c>
      <c r="H40" s="67" t="str">
        <f t="shared" si="12"/>
        <v>RGB</v>
      </c>
      <c r="I40" s="68">
        <v>7.8287037037037044E-2</v>
      </c>
      <c r="J40" s="31">
        <f t="shared" si="13"/>
        <v>3.587962962963015E-4</v>
      </c>
      <c r="K40" s="31">
        <f t="shared" si="6"/>
        <v>0</v>
      </c>
      <c r="M40" s="31"/>
      <c r="N40" s="31"/>
      <c r="O40" s="31"/>
      <c r="P40" s="150">
        <f t="shared" si="15"/>
        <v>7.8287037037037044E-2</v>
      </c>
      <c r="R40" s="158">
        <v>22</v>
      </c>
      <c r="S40" s="159">
        <v>29</v>
      </c>
      <c r="T40" s="157">
        <f t="shared" si="14"/>
        <v>22</v>
      </c>
      <c r="U40" s="160">
        <v>1</v>
      </c>
      <c r="V40" s="161">
        <v>42</v>
      </c>
      <c r="W40" s="157">
        <f t="shared" si="7"/>
        <v>1</v>
      </c>
    </row>
    <row r="41" spans="1:23" s="69" customFormat="1" ht="13.7" customHeight="1" x14ac:dyDescent="0.25">
      <c r="A41" s="53">
        <v>30</v>
      </c>
      <c r="B41" s="99">
        <v>48</v>
      </c>
      <c r="C41" s="63" t="str">
        <f t="shared" si="0"/>
        <v>CZE19981009</v>
      </c>
      <c r="D41" s="64" t="str">
        <f t="shared" si="8"/>
        <v xml:space="preserve">SIRŮČEK Václav </v>
      </c>
      <c r="E41" s="65" t="str">
        <f t="shared" si="9"/>
        <v>KC KOOPERATIVA SG JABLONEC N.N</v>
      </c>
      <c r="F41" s="66">
        <f t="shared" si="10"/>
        <v>8749</v>
      </c>
      <c r="G41" s="67" t="str">
        <f t="shared" si="11"/>
        <v>CADET</v>
      </c>
      <c r="H41" s="67" t="str">
        <f t="shared" si="12"/>
        <v>KOO</v>
      </c>
      <c r="I41" s="68">
        <v>7.8287037037037044E-2</v>
      </c>
      <c r="J41" s="31">
        <f t="shared" si="13"/>
        <v>3.587962962963015E-4</v>
      </c>
      <c r="K41" s="31">
        <f t="shared" si="6"/>
        <v>0</v>
      </c>
      <c r="M41" s="31"/>
      <c r="N41" s="31"/>
      <c r="O41" s="31"/>
      <c r="P41" s="150">
        <f t="shared" si="15"/>
        <v>7.8287037037037044E-2</v>
      </c>
      <c r="R41" s="158">
        <v>48</v>
      </c>
      <c r="S41" s="159">
        <v>30</v>
      </c>
      <c r="T41" s="157">
        <f t="shared" si="14"/>
        <v>48</v>
      </c>
      <c r="U41" s="160">
        <v>1</v>
      </c>
      <c r="V41" s="161">
        <v>43</v>
      </c>
      <c r="W41" s="157">
        <f t="shared" si="7"/>
        <v>1</v>
      </c>
    </row>
    <row r="42" spans="1:23" s="69" customFormat="1" ht="13.7" customHeight="1" x14ac:dyDescent="0.25">
      <c r="A42" s="53">
        <v>31</v>
      </c>
      <c r="B42" s="99">
        <v>49</v>
      </c>
      <c r="C42" s="63" t="str">
        <f t="shared" si="0"/>
        <v>CZE19960703</v>
      </c>
      <c r="D42" s="64" t="str">
        <f t="shared" si="8"/>
        <v xml:space="preserve">ŠÍREK Adrian </v>
      </c>
      <c r="E42" s="65" t="str">
        <f t="shared" si="9"/>
        <v>KC KOOPERATIVA SG JABLONEC N.N</v>
      </c>
      <c r="F42" s="66">
        <f t="shared" si="10"/>
        <v>12955</v>
      </c>
      <c r="G42" s="67" t="str">
        <f t="shared" si="11"/>
        <v>JUNIOR</v>
      </c>
      <c r="H42" s="67" t="str">
        <f t="shared" si="12"/>
        <v>KOO</v>
      </c>
      <c r="I42" s="68">
        <v>7.8287037037037044E-2</v>
      </c>
      <c r="J42" s="31">
        <f t="shared" si="13"/>
        <v>3.587962962963015E-4</v>
      </c>
      <c r="K42" s="31">
        <f t="shared" si="6"/>
        <v>0</v>
      </c>
      <c r="M42" s="31"/>
      <c r="N42" s="31"/>
      <c r="O42" s="31"/>
      <c r="P42" s="150">
        <f t="shared" si="15"/>
        <v>7.8287037037037044E-2</v>
      </c>
      <c r="R42" s="158">
        <v>49</v>
      </c>
      <c r="S42" s="159">
        <v>31</v>
      </c>
      <c r="T42" s="157">
        <f t="shared" si="14"/>
        <v>49</v>
      </c>
      <c r="U42" s="160">
        <v>1</v>
      </c>
      <c r="V42" s="161">
        <v>44</v>
      </c>
      <c r="W42" s="157">
        <f t="shared" si="7"/>
        <v>1</v>
      </c>
    </row>
    <row r="43" spans="1:23" s="69" customFormat="1" ht="13.7" customHeight="1" x14ac:dyDescent="0.25">
      <c r="A43" s="53">
        <v>32</v>
      </c>
      <c r="B43" s="99">
        <v>163</v>
      </c>
      <c r="C43" s="63" t="str">
        <f t="shared" si="0"/>
        <v>RUS19970527</v>
      </c>
      <c r="D43" s="64" t="str">
        <f t="shared" si="8"/>
        <v>PLAKUSHKIN Sergey</v>
      </c>
      <c r="E43" s="65" t="str">
        <f t="shared" si="9"/>
        <v>RUSSIAN CYCLING FEDERATION</v>
      </c>
      <c r="F43" s="66" t="str">
        <f t="shared" si="10"/>
        <v>B0277</v>
      </c>
      <c r="G43" s="67" t="str">
        <f t="shared" si="11"/>
        <v>JUNIOR*</v>
      </c>
      <c r="H43" s="67" t="str">
        <f t="shared" si="12"/>
        <v>RUS</v>
      </c>
      <c r="I43" s="68">
        <v>7.8287037037037044E-2</v>
      </c>
      <c r="J43" s="31">
        <f t="shared" si="13"/>
        <v>3.587962962963015E-4</v>
      </c>
      <c r="K43" s="31">
        <f t="shared" si="6"/>
        <v>0</v>
      </c>
      <c r="M43" s="31"/>
      <c r="N43" s="31"/>
      <c r="O43" s="31"/>
      <c r="P43" s="150">
        <f t="shared" si="15"/>
        <v>7.8287037037037044E-2</v>
      </c>
      <c r="R43" s="158">
        <v>163</v>
      </c>
      <c r="S43" s="159">
        <v>32</v>
      </c>
      <c r="T43" s="157">
        <f t="shared" si="14"/>
        <v>163</v>
      </c>
      <c r="U43" s="160">
        <v>1</v>
      </c>
      <c r="V43" s="161">
        <v>45</v>
      </c>
      <c r="W43" s="157">
        <f t="shared" si="7"/>
        <v>1</v>
      </c>
    </row>
    <row r="44" spans="1:23" s="69" customFormat="1" ht="13.7" customHeight="1" x14ac:dyDescent="0.25">
      <c r="A44" s="53">
        <v>33</v>
      </c>
      <c r="B44" s="99">
        <v>115</v>
      </c>
      <c r="C44" s="63" t="str">
        <f t="shared" si="0"/>
        <v>GER19961029</v>
      </c>
      <c r="D44" s="64" t="str">
        <f t="shared" si="8"/>
        <v>KOCH Chrisitan</v>
      </c>
      <c r="E44" s="65" t="str">
        <f t="shared" si="9"/>
        <v>TEAM BRANDENBURG - RSC COTTBUS</v>
      </c>
      <c r="F44" s="66" t="str">
        <f t="shared" si="10"/>
        <v>043833-11</v>
      </c>
      <c r="G44" s="67" t="str">
        <f t="shared" si="11"/>
        <v>JUNIOR</v>
      </c>
      <c r="H44" s="67" t="str">
        <f t="shared" si="12"/>
        <v>COT</v>
      </c>
      <c r="I44" s="68">
        <v>7.8287037037037044E-2</v>
      </c>
      <c r="J44" s="31">
        <f t="shared" si="13"/>
        <v>3.587962962963015E-4</v>
      </c>
      <c r="K44" s="31">
        <f t="shared" ref="K44:K75" si="16">M44+N44</f>
        <v>2.3148148148148147E-5</v>
      </c>
      <c r="M44" s="31">
        <v>2.3148148148148147E-5</v>
      </c>
      <c r="N44" s="31"/>
      <c r="O44" s="31"/>
      <c r="P44" s="150">
        <f t="shared" si="15"/>
        <v>7.8263888888888897E-2</v>
      </c>
      <c r="R44" s="158">
        <v>115</v>
      </c>
      <c r="S44" s="159">
        <v>33</v>
      </c>
      <c r="T44" s="157">
        <f t="shared" si="14"/>
        <v>115</v>
      </c>
      <c r="U44" s="160">
        <v>1</v>
      </c>
      <c r="V44" s="161">
        <v>46</v>
      </c>
      <c r="W44" s="157">
        <f t="shared" ref="W44:W75" si="17">SUMIF(T:T,V:V,U:U)</f>
        <v>1</v>
      </c>
    </row>
    <row r="45" spans="1:23" s="69" customFormat="1" ht="13.7" customHeight="1" x14ac:dyDescent="0.25">
      <c r="A45" s="53">
        <v>34</v>
      </c>
      <c r="B45" s="99">
        <v>24</v>
      </c>
      <c r="C45" s="63" t="str">
        <f t="shared" si="0"/>
        <v>GER19980223</v>
      </c>
      <c r="D45" s="64" t="str">
        <f t="shared" si="8"/>
        <v>PLAMBECK Philipp</v>
      </c>
      <c r="E45" s="65" t="str">
        <f t="shared" si="9"/>
        <v>RG BERLIN</v>
      </c>
      <c r="F45" s="66" t="str">
        <f t="shared" si="10"/>
        <v>HAM062726</v>
      </c>
      <c r="G45" s="67" t="str">
        <f t="shared" si="11"/>
        <v>CADET</v>
      </c>
      <c r="H45" s="67" t="str">
        <f t="shared" si="12"/>
        <v>RGB</v>
      </c>
      <c r="I45" s="68">
        <v>7.8287037037037044E-2</v>
      </c>
      <c r="J45" s="31">
        <f t="shared" si="13"/>
        <v>3.587962962963015E-4</v>
      </c>
      <c r="K45" s="31">
        <f t="shared" si="16"/>
        <v>0</v>
      </c>
      <c r="M45" s="31"/>
      <c r="N45" s="31"/>
      <c r="O45" s="31"/>
      <c r="P45" s="150">
        <f t="shared" si="15"/>
        <v>7.8287037037037044E-2</v>
      </c>
      <c r="R45" s="158">
        <v>24</v>
      </c>
      <c r="S45" s="159">
        <v>34</v>
      </c>
      <c r="T45" s="157">
        <f t="shared" si="14"/>
        <v>24</v>
      </c>
      <c r="U45" s="160">
        <v>1</v>
      </c>
      <c r="V45" s="161">
        <v>47</v>
      </c>
      <c r="W45" s="157">
        <f t="shared" si="17"/>
        <v>1</v>
      </c>
    </row>
    <row r="46" spans="1:23" s="69" customFormat="1" ht="13.7" customHeight="1" x14ac:dyDescent="0.25">
      <c r="A46" s="53">
        <v>35</v>
      </c>
      <c r="B46" s="99">
        <v>63</v>
      </c>
      <c r="C46" s="63" t="str">
        <f t="shared" si="0"/>
        <v>POL19960116</v>
      </c>
      <c r="D46" s="64" t="str">
        <f t="shared" si="8"/>
        <v>GORZAWSKI Kamil</v>
      </c>
      <c r="E46" s="65" t="str">
        <f t="shared" si="9"/>
        <v xml:space="preserve">DSR AUTHOR GÓRNIK WAŁBRZYCH </v>
      </c>
      <c r="F46" s="66" t="str">
        <f t="shared" si="10"/>
        <v>DLS164</v>
      </c>
      <c r="G46" s="67" t="str">
        <f t="shared" si="11"/>
        <v>JUNIOR</v>
      </c>
      <c r="H46" s="67" t="str">
        <f t="shared" si="12"/>
        <v>GOR</v>
      </c>
      <c r="I46" s="68">
        <v>7.8287037037037044E-2</v>
      </c>
      <c r="J46" s="31">
        <f t="shared" si="13"/>
        <v>3.587962962963015E-4</v>
      </c>
      <c r="K46" s="31">
        <f t="shared" si="16"/>
        <v>0</v>
      </c>
      <c r="M46" s="31"/>
      <c r="N46" s="31"/>
      <c r="O46" s="31"/>
      <c r="P46" s="150">
        <f t="shared" si="15"/>
        <v>7.8287037037037044E-2</v>
      </c>
      <c r="R46" s="158">
        <v>63</v>
      </c>
      <c r="S46" s="159">
        <v>35</v>
      </c>
      <c r="T46" s="157">
        <f t="shared" si="14"/>
        <v>63</v>
      </c>
      <c r="U46" s="160">
        <v>1</v>
      </c>
      <c r="V46" s="161">
        <v>48</v>
      </c>
      <c r="W46" s="157">
        <f t="shared" si="17"/>
        <v>1</v>
      </c>
    </row>
    <row r="47" spans="1:23" s="69" customFormat="1" ht="13.7" customHeight="1" x14ac:dyDescent="0.25">
      <c r="A47" s="53">
        <v>36</v>
      </c>
      <c r="B47" s="99">
        <v>17</v>
      </c>
      <c r="C47" s="63" t="str">
        <f t="shared" si="0"/>
        <v>GER19980912</v>
      </c>
      <c r="D47" s="64" t="str">
        <f t="shared" si="8"/>
        <v>CLAUSS Marc</v>
      </c>
      <c r="E47" s="65" t="str">
        <f t="shared" si="9"/>
        <v>JUNIOREN SCHWALBE TEAM SACHSEN</v>
      </c>
      <c r="F47" s="66" t="str">
        <f t="shared" si="10"/>
        <v>SAC 135276</v>
      </c>
      <c r="G47" s="67" t="str">
        <f t="shared" si="11"/>
        <v>CADET</v>
      </c>
      <c r="H47" s="67" t="str">
        <f t="shared" si="12"/>
        <v>SCW</v>
      </c>
      <c r="I47" s="68">
        <v>7.8287037037037044E-2</v>
      </c>
      <c r="J47" s="31">
        <f t="shared" si="13"/>
        <v>3.587962962963015E-4</v>
      </c>
      <c r="K47" s="31">
        <f t="shared" si="16"/>
        <v>0</v>
      </c>
      <c r="M47" s="31"/>
      <c r="N47" s="31"/>
      <c r="O47" s="31"/>
      <c r="P47" s="150">
        <f t="shared" si="15"/>
        <v>7.8287037037037044E-2</v>
      </c>
      <c r="R47" s="158">
        <v>17</v>
      </c>
      <c r="S47" s="159">
        <v>36</v>
      </c>
      <c r="T47" s="157">
        <f t="shared" si="14"/>
        <v>17</v>
      </c>
      <c r="U47" s="160">
        <v>1</v>
      </c>
      <c r="V47" s="161">
        <v>49</v>
      </c>
      <c r="W47" s="157">
        <f t="shared" si="17"/>
        <v>1</v>
      </c>
    </row>
    <row r="48" spans="1:23" s="69" customFormat="1" ht="13.7" customHeight="1" x14ac:dyDescent="0.25">
      <c r="A48" s="53">
        <v>37</v>
      </c>
      <c r="B48" s="99">
        <v>96</v>
      </c>
      <c r="C48" s="63" t="str">
        <f t="shared" si="0"/>
        <v>CZE19960516</v>
      </c>
      <c r="D48" s="64" t="str">
        <f t="shared" si="8"/>
        <v xml:space="preserve">SCHMIDT Vít </v>
      </c>
      <c r="E48" s="65" t="str">
        <f t="shared" si="9"/>
        <v xml:space="preserve">TJ FAVORIT BRNO </v>
      </c>
      <c r="F48" s="66">
        <f t="shared" si="10"/>
        <v>8369</v>
      </c>
      <c r="G48" s="67" t="str">
        <f t="shared" si="11"/>
        <v>JUNIOR</v>
      </c>
      <c r="H48" s="67" t="str">
        <f t="shared" si="12"/>
        <v>FAV</v>
      </c>
      <c r="I48" s="68">
        <v>7.8287037037037044E-2</v>
      </c>
      <c r="J48" s="31">
        <f t="shared" si="13"/>
        <v>3.587962962963015E-4</v>
      </c>
      <c r="K48" s="31">
        <f t="shared" si="16"/>
        <v>0</v>
      </c>
      <c r="M48" s="31"/>
      <c r="N48" s="31"/>
      <c r="O48" s="31"/>
      <c r="P48" s="150">
        <f t="shared" si="15"/>
        <v>7.8287037037037044E-2</v>
      </c>
      <c r="R48" s="158">
        <v>96</v>
      </c>
      <c r="S48" s="159">
        <v>37</v>
      </c>
      <c r="T48" s="157">
        <f t="shared" si="14"/>
        <v>96</v>
      </c>
      <c r="U48" s="160">
        <v>1</v>
      </c>
      <c r="V48" s="161">
        <v>50</v>
      </c>
      <c r="W48" s="157">
        <f t="shared" si="17"/>
        <v>1</v>
      </c>
    </row>
    <row r="49" spans="1:23" s="69" customFormat="1" ht="13.7" customHeight="1" x14ac:dyDescent="0.25">
      <c r="A49" s="53">
        <v>38</v>
      </c>
      <c r="B49" s="99">
        <v>123</v>
      </c>
      <c r="C49" s="63" t="str">
        <f t="shared" si="0"/>
        <v>CZE19971015</v>
      </c>
      <c r="D49" s="64" t="str">
        <f t="shared" si="8"/>
        <v xml:space="preserve">STRUPEK Matyáš </v>
      </c>
      <c r="E49" s="65" t="str">
        <f t="shared" si="9"/>
        <v xml:space="preserve">SKC TUFO PROSTĚJOV </v>
      </c>
      <c r="F49" s="66">
        <f t="shared" si="10"/>
        <v>11747</v>
      </c>
      <c r="G49" s="67" t="str">
        <f t="shared" si="11"/>
        <v>JUNIOR*</v>
      </c>
      <c r="H49" s="67" t="str">
        <f t="shared" si="12"/>
        <v>SKC</v>
      </c>
      <c r="I49" s="68">
        <v>7.8287037037037044E-2</v>
      </c>
      <c r="J49" s="31">
        <f t="shared" si="13"/>
        <v>3.587962962963015E-4</v>
      </c>
      <c r="K49" s="31">
        <f t="shared" si="16"/>
        <v>0</v>
      </c>
      <c r="M49" s="31"/>
      <c r="N49" s="31"/>
      <c r="O49" s="31"/>
      <c r="P49" s="150">
        <f t="shared" si="15"/>
        <v>7.8287037037037044E-2</v>
      </c>
      <c r="R49" s="158">
        <v>123</v>
      </c>
      <c r="S49" s="159">
        <v>38</v>
      </c>
      <c r="T49" s="157">
        <f t="shared" si="14"/>
        <v>123</v>
      </c>
      <c r="U49" s="160">
        <v>1</v>
      </c>
      <c r="V49" s="161">
        <v>51</v>
      </c>
      <c r="W49" s="157">
        <f t="shared" si="17"/>
        <v>1</v>
      </c>
    </row>
    <row r="50" spans="1:23" s="69" customFormat="1" ht="13.7" customHeight="1" x14ac:dyDescent="0.25">
      <c r="A50" s="53">
        <v>39</v>
      </c>
      <c r="B50" s="99">
        <v>57</v>
      </c>
      <c r="C50" s="63" t="str">
        <f t="shared" si="0"/>
        <v>POL19970825</v>
      </c>
      <c r="D50" s="64" t="str">
        <f t="shared" si="8"/>
        <v>GRZEGORZYCA Dominik</v>
      </c>
      <c r="E50" s="65" t="str">
        <f t="shared" si="9"/>
        <v>GRUPA KOLARSKA GLIWICE BA</v>
      </c>
      <c r="F50" s="66" t="str">
        <f t="shared" si="10"/>
        <v>SLA008</v>
      </c>
      <c r="G50" s="67" t="str">
        <f t="shared" si="11"/>
        <v>JUNIOR*</v>
      </c>
      <c r="H50" s="67" t="str">
        <f t="shared" si="12"/>
        <v>GLI</v>
      </c>
      <c r="I50" s="68">
        <v>7.8287037037037044E-2</v>
      </c>
      <c r="J50" s="31">
        <f t="shared" si="13"/>
        <v>3.587962962963015E-4</v>
      </c>
      <c r="K50" s="31">
        <f t="shared" si="16"/>
        <v>0</v>
      </c>
      <c r="M50" s="31"/>
      <c r="N50" s="31"/>
      <c r="O50" s="31"/>
      <c r="P50" s="150">
        <f t="shared" si="15"/>
        <v>7.8287037037037044E-2</v>
      </c>
      <c r="R50" s="158">
        <v>57</v>
      </c>
      <c r="S50" s="159">
        <v>39</v>
      </c>
      <c r="T50" s="157">
        <f t="shared" si="14"/>
        <v>57</v>
      </c>
      <c r="U50" s="160">
        <v>1</v>
      </c>
      <c r="V50" s="161">
        <v>52</v>
      </c>
      <c r="W50" s="157">
        <f t="shared" si="17"/>
        <v>1</v>
      </c>
    </row>
    <row r="51" spans="1:23" s="69" customFormat="1" ht="13.7" customHeight="1" x14ac:dyDescent="0.25">
      <c r="A51" s="53">
        <v>40</v>
      </c>
      <c r="B51" s="99">
        <v>148</v>
      </c>
      <c r="C51" s="63" t="str">
        <f t="shared" si="0"/>
        <v>CZE19960522</v>
      </c>
      <c r="D51" s="64" t="str">
        <f t="shared" si="8"/>
        <v xml:space="preserve">PUDL Tomáš </v>
      </c>
      <c r="E51" s="65" t="str">
        <f t="shared" si="9"/>
        <v xml:space="preserve">MAPEI CYKLO KAŇKOVSKÝ </v>
      </c>
      <c r="F51" s="66">
        <f t="shared" si="10"/>
        <v>19342</v>
      </c>
      <c r="G51" s="67" t="str">
        <f t="shared" si="11"/>
        <v>JUNIOR</v>
      </c>
      <c r="H51" s="67" t="str">
        <f t="shared" si="12"/>
        <v>MAP</v>
      </c>
      <c r="I51" s="68">
        <v>7.8287037037037044E-2</v>
      </c>
      <c r="J51" s="31">
        <f t="shared" si="13"/>
        <v>3.587962962963015E-4</v>
      </c>
      <c r="K51" s="31">
        <f t="shared" si="16"/>
        <v>0</v>
      </c>
      <c r="M51" s="31"/>
      <c r="N51" s="31"/>
      <c r="O51" s="31"/>
      <c r="P51" s="150">
        <f t="shared" si="15"/>
        <v>7.8287037037037044E-2</v>
      </c>
      <c r="R51" s="158">
        <v>148</v>
      </c>
      <c r="S51" s="159">
        <v>40</v>
      </c>
      <c r="T51" s="157">
        <f t="shared" si="14"/>
        <v>148</v>
      </c>
      <c r="U51" s="160">
        <v>1</v>
      </c>
      <c r="V51" s="161">
        <v>53</v>
      </c>
      <c r="W51" s="157">
        <f t="shared" si="17"/>
        <v>1</v>
      </c>
    </row>
    <row r="52" spans="1:23" s="69" customFormat="1" ht="13.7" customHeight="1" x14ac:dyDescent="0.25">
      <c r="A52" s="53">
        <v>41</v>
      </c>
      <c r="B52" s="99">
        <v>8</v>
      </c>
      <c r="C52" s="63" t="str">
        <f t="shared" si="0"/>
        <v>GER19980416</v>
      </c>
      <c r="D52" s="64" t="str">
        <f t="shared" si="8"/>
        <v>KÄßMANN Fabian</v>
      </c>
      <c r="E52" s="65" t="str">
        <f t="shared" si="9"/>
        <v>1.RSV 1886 GREIZ</v>
      </c>
      <c r="F52" s="66" t="str">
        <f t="shared" si="10"/>
        <v>THÜ173410</v>
      </c>
      <c r="G52" s="67" t="str">
        <f t="shared" si="11"/>
        <v>CADET</v>
      </c>
      <c r="H52" s="67" t="str">
        <f t="shared" si="12"/>
        <v>TUR</v>
      </c>
      <c r="I52" s="68">
        <v>7.8287037037037044E-2</v>
      </c>
      <c r="J52" s="31">
        <f t="shared" si="13"/>
        <v>3.587962962963015E-4</v>
      </c>
      <c r="K52" s="31">
        <f t="shared" si="16"/>
        <v>0</v>
      </c>
      <c r="M52" s="31"/>
      <c r="N52" s="31"/>
      <c r="O52" s="31"/>
      <c r="P52" s="150">
        <f t="shared" si="15"/>
        <v>7.8287037037037044E-2</v>
      </c>
      <c r="R52" s="158">
        <v>8</v>
      </c>
      <c r="S52" s="159">
        <v>41</v>
      </c>
      <c r="T52" s="157">
        <f t="shared" si="14"/>
        <v>8</v>
      </c>
      <c r="U52" s="160">
        <v>1</v>
      </c>
      <c r="V52" s="161">
        <v>54</v>
      </c>
      <c r="W52" s="157">
        <f t="shared" si="17"/>
        <v>1</v>
      </c>
    </row>
    <row r="53" spans="1:23" s="69" customFormat="1" ht="13.7" customHeight="1" x14ac:dyDescent="0.25">
      <c r="A53" s="53">
        <v>42</v>
      </c>
      <c r="B53" s="99">
        <v>12</v>
      </c>
      <c r="C53" s="63" t="str">
        <f t="shared" si="0"/>
        <v>GER19960405</v>
      </c>
      <c r="D53" s="64" t="str">
        <f t="shared" si="8"/>
        <v>WITTE Reinhard</v>
      </c>
      <c r="E53" s="65" t="str">
        <f t="shared" si="9"/>
        <v>JUNIOREN SCHWALBE TEAM SACHSEN</v>
      </c>
      <c r="F53" s="66" t="str">
        <f t="shared" si="10"/>
        <v>SAC 141671</v>
      </c>
      <c r="G53" s="67" t="str">
        <f t="shared" si="11"/>
        <v>JUNIOR</v>
      </c>
      <c r="H53" s="67" t="str">
        <f t="shared" si="12"/>
        <v>SCW</v>
      </c>
      <c r="I53" s="68">
        <v>7.8287037037037044E-2</v>
      </c>
      <c r="J53" s="31">
        <f t="shared" si="13"/>
        <v>3.587962962963015E-4</v>
      </c>
      <c r="K53" s="31">
        <f t="shared" si="16"/>
        <v>1.1574074074074073E-5</v>
      </c>
      <c r="M53" s="31">
        <v>1.1574074074074073E-5</v>
      </c>
      <c r="N53" s="31"/>
      <c r="O53" s="31"/>
      <c r="P53" s="150">
        <f t="shared" si="15"/>
        <v>7.8275462962962963E-2</v>
      </c>
      <c r="R53" s="158">
        <v>12</v>
      </c>
      <c r="S53" s="159">
        <v>42</v>
      </c>
      <c r="T53" s="157">
        <f t="shared" si="14"/>
        <v>12</v>
      </c>
      <c r="U53" s="160">
        <v>1</v>
      </c>
      <c r="V53" s="161">
        <v>55</v>
      </c>
      <c r="W53" s="157">
        <f t="shared" si="17"/>
        <v>1</v>
      </c>
    </row>
    <row r="54" spans="1:23" s="69" customFormat="1" ht="13.7" customHeight="1" x14ac:dyDescent="0.25">
      <c r="A54" s="53">
        <v>43</v>
      </c>
      <c r="B54" s="99">
        <v>62</v>
      </c>
      <c r="C54" s="63" t="str">
        <f t="shared" si="0"/>
        <v>POL19970228</v>
      </c>
      <c r="D54" s="64" t="str">
        <f t="shared" si="8"/>
        <v>SKIBIŃSKI Krzysztof</v>
      </c>
      <c r="E54" s="65" t="str">
        <f t="shared" si="9"/>
        <v xml:space="preserve">DSR AUTHOR GÓRNIK WAŁBRZYCH </v>
      </c>
      <c r="F54" s="66" t="str">
        <f t="shared" si="10"/>
        <v>DLS161</v>
      </c>
      <c r="G54" s="67" t="str">
        <f t="shared" si="11"/>
        <v>JUNIOR*</v>
      </c>
      <c r="H54" s="67" t="str">
        <f t="shared" si="12"/>
        <v>GOR</v>
      </c>
      <c r="I54" s="68">
        <v>7.8287037037037044E-2</v>
      </c>
      <c r="J54" s="31">
        <f t="shared" si="13"/>
        <v>3.587962962963015E-4</v>
      </c>
      <c r="K54" s="31">
        <f t="shared" si="16"/>
        <v>0</v>
      </c>
      <c r="M54" s="31"/>
      <c r="N54" s="31"/>
      <c r="O54" s="31"/>
      <c r="P54" s="150">
        <f t="shared" si="15"/>
        <v>7.8287037037037044E-2</v>
      </c>
      <c r="R54" s="158">
        <v>62</v>
      </c>
      <c r="S54" s="159">
        <v>43</v>
      </c>
      <c r="T54" s="157">
        <f t="shared" si="14"/>
        <v>62</v>
      </c>
      <c r="U54" s="160">
        <v>1</v>
      </c>
      <c r="V54" s="161">
        <v>56</v>
      </c>
      <c r="W54" s="157">
        <f t="shared" si="17"/>
        <v>1</v>
      </c>
    </row>
    <row r="55" spans="1:23" s="69" customFormat="1" ht="13.7" customHeight="1" x14ac:dyDescent="0.25">
      <c r="A55" s="53">
        <v>44</v>
      </c>
      <c r="B55" s="99">
        <v>162</v>
      </c>
      <c r="C55" s="63" t="str">
        <f t="shared" si="0"/>
        <v>RUS19971119</v>
      </c>
      <c r="D55" s="64" t="str">
        <f t="shared" si="8"/>
        <v>NECHAEV Vladislav</v>
      </c>
      <c r="E55" s="65" t="str">
        <f t="shared" si="9"/>
        <v>RUSSIAN CYCLING FEDERATION</v>
      </c>
      <c r="F55" s="66" t="str">
        <f t="shared" si="10"/>
        <v>B0275</v>
      </c>
      <c r="G55" s="67" t="str">
        <f t="shared" si="11"/>
        <v>JUNIOR*</v>
      </c>
      <c r="H55" s="67" t="str">
        <f t="shared" si="12"/>
        <v>RUS</v>
      </c>
      <c r="I55" s="68">
        <v>7.8287037037037044E-2</v>
      </c>
      <c r="J55" s="31">
        <f t="shared" si="13"/>
        <v>3.587962962963015E-4</v>
      </c>
      <c r="K55" s="31">
        <f t="shared" si="16"/>
        <v>0</v>
      </c>
      <c r="M55" s="31"/>
      <c r="N55" s="31"/>
      <c r="O55" s="31"/>
      <c r="P55" s="150">
        <f t="shared" si="15"/>
        <v>7.8287037037037044E-2</v>
      </c>
      <c r="R55" s="158">
        <v>162</v>
      </c>
      <c r="S55" s="159">
        <v>44</v>
      </c>
      <c r="T55" s="157">
        <f t="shared" si="14"/>
        <v>162</v>
      </c>
      <c r="U55" s="160">
        <v>1</v>
      </c>
      <c r="V55" s="161">
        <v>57</v>
      </c>
      <c r="W55" s="157">
        <f t="shared" si="17"/>
        <v>1</v>
      </c>
    </row>
    <row r="56" spans="1:23" s="69" customFormat="1" ht="13.7" customHeight="1" x14ac:dyDescent="0.25">
      <c r="A56" s="53">
        <v>45</v>
      </c>
      <c r="B56" s="99">
        <v>84</v>
      </c>
      <c r="C56" s="63" t="str">
        <f t="shared" si="0"/>
        <v>BEL19970116</v>
      </c>
      <c r="D56" s="64" t="str">
        <f t="shared" si="8"/>
        <v>PENNINCK Jens</v>
      </c>
      <c r="E56" s="65" t="str">
        <f t="shared" si="9"/>
        <v>VZW TIELTSE RENNERSCLUB - JIELKER GELDHOF</v>
      </c>
      <c r="F56" s="66">
        <f t="shared" si="10"/>
        <v>35143</v>
      </c>
      <c r="G56" s="67" t="str">
        <f t="shared" si="11"/>
        <v>JUNIOR*</v>
      </c>
      <c r="H56" s="67" t="str">
        <f t="shared" si="12"/>
        <v>KOV</v>
      </c>
      <c r="I56" s="68">
        <v>7.8287037037037044E-2</v>
      </c>
      <c r="J56" s="31">
        <f t="shared" si="13"/>
        <v>3.587962962963015E-4</v>
      </c>
      <c r="K56" s="31">
        <f t="shared" si="16"/>
        <v>0</v>
      </c>
      <c r="M56" s="31"/>
      <c r="N56" s="31"/>
      <c r="O56" s="31"/>
      <c r="P56" s="150">
        <f t="shared" si="15"/>
        <v>7.8287037037037044E-2</v>
      </c>
      <c r="R56" s="158">
        <v>84</v>
      </c>
      <c r="S56" s="159">
        <v>45</v>
      </c>
      <c r="T56" s="157">
        <f t="shared" si="14"/>
        <v>84</v>
      </c>
      <c r="U56" s="160">
        <v>1</v>
      </c>
      <c r="V56" s="161">
        <v>58</v>
      </c>
      <c r="W56" s="157">
        <f t="shared" si="17"/>
        <v>1</v>
      </c>
    </row>
    <row r="57" spans="1:23" s="69" customFormat="1" ht="13.7" customHeight="1" x14ac:dyDescent="0.25">
      <c r="A57" s="53">
        <v>46</v>
      </c>
      <c r="B57" s="99">
        <v>134</v>
      </c>
      <c r="C57" s="63" t="str">
        <f t="shared" si="0"/>
        <v>AUT19960910</v>
      </c>
      <c r="D57" s="64" t="str">
        <f t="shared" si="8"/>
        <v>HUBER Marcel</v>
      </c>
      <c r="E57" s="65" t="str">
        <f t="shared" si="9"/>
        <v>RC ARBÖ WELS GOURMETFEIN</v>
      </c>
      <c r="F57" s="66">
        <f t="shared" si="10"/>
        <v>100090</v>
      </c>
      <c r="G57" s="67" t="str">
        <f t="shared" si="11"/>
        <v>JUNIOR</v>
      </c>
      <c r="H57" s="67" t="str">
        <f t="shared" si="12"/>
        <v>RCA</v>
      </c>
      <c r="I57" s="68">
        <v>7.8287037037037044E-2</v>
      </c>
      <c r="J57" s="31">
        <f t="shared" si="13"/>
        <v>3.587962962963015E-4</v>
      </c>
      <c r="K57" s="31">
        <f t="shared" si="16"/>
        <v>0</v>
      </c>
      <c r="M57" s="31"/>
      <c r="N57" s="31"/>
      <c r="O57" s="31"/>
      <c r="P57" s="150">
        <f t="shared" si="15"/>
        <v>7.8287037037037044E-2</v>
      </c>
      <c r="R57" s="158">
        <v>134</v>
      </c>
      <c r="S57" s="159">
        <v>46</v>
      </c>
      <c r="T57" s="157">
        <f t="shared" si="14"/>
        <v>134</v>
      </c>
      <c r="U57" s="160">
        <v>1</v>
      </c>
      <c r="V57" s="161">
        <v>59</v>
      </c>
      <c r="W57" s="157">
        <f t="shared" si="17"/>
        <v>1</v>
      </c>
    </row>
    <row r="58" spans="1:23" s="69" customFormat="1" ht="13.7" customHeight="1" x14ac:dyDescent="0.25">
      <c r="A58" s="53">
        <v>47</v>
      </c>
      <c r="B58" s="99">
        <v>154</v>
      </c>
      <c r="C58" s="63" t="str">
        <f t="shared" si="0"/>
        <v>CZE19970227</v>
      </c>
      <c r="D58" s="64" t="str">
        <f t="shared" si="8"/>
        <v>PAVKA Filip</v>
      </c>
      <c r="E58" s="65" t="str">
        <f t="shared" si="9"/>
        <v>STEVENS ZNOJMO</v>
      </c>
      <c r="F58" s="66">
        <f t="shared" si="10"/>
        <v>20126</v>
      </c>
      <c r="G58" s="67" t="str">
        <f t="shared" si="11"/>
        <v>JUNIOR*</v>
      </c>
      <c r="H58" s="67" t="str">
        <f t="shared" si="12"/>
        <v>SKC</v>
      </c>
      <c r="I58" s="68">
        <v>7.8287037037037044E-2</v>
      </c>
      <c r="J58" s="31">
        <f t="shared" si="13"/>
        <v>3.587962962963015E-4</v>
      </c>
      <c r="K58" s="31">
        <f t="shared" si="16"/>
        <v>0</v>
      </c>
      <c r="M58" s="31"/>
      <c r="N58" s="31"/>
      <c r="O58" s="31"/>
      <c r="P58" s="150">
        <f t="shared" si="15"/>
        <v>7.8287037037037044E-2</v>
      </c>
      <c r="R58" s="158">
        <v>154</v>
      </c>
      <c r="S58" s="159">
        <v>47</v>
      </c>
      <c r="T58" s="157">
        <f t="shared" si="14"/>
        <v>154</v>
      </c>
      <c r="U58" s="160">
        <v>1</v>
      </c>
      <c r="V58" s="161">
        <v>61</v>
      </c>
      <c r="W58" s="157">
        <f t="shared" si="17"/>
        <v>0</v>
      </c>
    </row>
    <row r="59" spans="1:23" s="69" customFormat="1" ht="13.7" customHeight="1" x14ac:dyDescent="0.25">
      <c r="A59" s="53">
        <v>48</v>
      </c>
      <c r="B59" s="99">
        <v>45</v>
      </c>
      <c r="C59" s="63" t="str">
        <f t="shared" si="0"/>
        <v>CZE19960630</v>
      </c>
      <c r="D59" s="64" t="str">
        <f t="shared" si="8"/>
        <v xml:space="preserve">LEHKÝ Roman </v>
      </c>
      <c r="E59" s="65" t="str">
        <f t="shared" si="9"/>
        <v>KC KOOPERATIVA SG JABLONEC N.N</v>
      </c>
      <c r="F59" s="66">
        <f t="shared" si="10"/>
        <v>9859</v>
      </c>
      <c r="G59" s="67" t="str">
        <f t="shared" si="11"/>
        <v>JUNIOR</v>
      </c>
      <c r="H59" s="67" t="str">
        <f t="shared" si="12"/>
        <v>KOO</v>
      </c>
      <c r="I59" s="68">
        <v>7.8287037037037044E-2</v>
      </c>
      <c r="J59" s="31">
        <f t="shared" si="13"/>
        <v>3.587962962963015E-4</v>
      </c>
      <c r="K59" s="31">
        <f t="shared" si="16"/>
        <v>0</v>
      </c>
      <c r="M59" s="31"/>
      <c r="N59" s="31"/>
      <c r="O59" s="31"/>
      <c r="P59" s="150">
        <f t="shared" si="15"/>
        <v>7.8287037037037044E-2</v>
      </c>
      <c r="R59" s="158">
        <v>45</v>
      </c>
      <c r="S59" s="159">
        <v>48</v>
      </c>
      <c r="T59" s="157">
        <f t="shared" si="14"/>
        <v>45</v>
      </c>
      <c r="U59" s="160">
        <v>1</v>
      </c>
      <c r="V59" s="161">
        <v>62</v>
      </c>
      <c r="W59" s="157">
        <f t="shared" si="17"/>
        <v>1</v>
      </c>
    </row>
    <row r="60" spans="1:23" s="69" customFormat="1" ht="13.7" customHeight="1" x14ac:dyDescent="0.25">
      <c r="A60" s="53">
        <v>49</v>
      </c>
      <c r="B60" s="99">
        <v>42</v>
      </c>
      <c r="C60" s="63" t="str">
        <f t="shared" si="0"/>
        <v>CZE19961125</v>
      </c>
      <c r="D60" s="64" t="str">
        <f t="shared" si="8"/>
        <v xml:space="preserve">ANDRŠ Jakub </v>
      </c>
      <c r="E60" s="65" t="str">
        <f t="shared" si="9"/>
        <v>KC KOOPERATIVA SG JABLONEC N.N</v>
      </c>
      <c r="F60" s="66">
        <f t="shared" si="10"/>
        <v>12251</v>
      </c>
      <c r="G60" s="67" t="str">
        <f t="shared" si="11"/>
        <v>JUNIOR</v>
      </c>
      <c r="H60" s="67" t="str">
        <f t="shared" si="12"/>
        <v>KOO</v>
      </c>
      <c r="I60" s="68">
        <v>7.8287037037037044E-2</v>
      </c>
      <c r="J60" s="31">
        <f t="shared" si="13"/>
        <v>3.587962962963015E-4</v>
      </c>
      <c r="K60" s="31">
        <f t="shared" si="16"/>
        <v>0</v>
      </c>
      <c r="M60" s="31"/>
      <c r="N60" s="31"/>
      <c r="O60" s="31"/>
      <c r="P60" s="150">
        <f t="shared" si="15"/>
        <v>7.8287037037037044E-2</v>
      </c>
      <c r="R60" s="158">
        <v>42</v>
      </c>
      <c r="S60" s="159">
        <v>49</v>
      </c>
      <c r="T60" s="157">
        <f t="shared" si="14"/>
        <v>42</v>
      </c>
      <c r="U60" s="160">
        <v>1</v>
      </c>
      <c r="V60" s="161">
        <v>63</v>
      </c>
      <c r="W60" s="157">
        <f t="shared" si="17"/>
        <v>1</v>
      </c>
    </row>
    <row r="61" spans="1:23" s="69" customFormat="1" ht="13.7" customHeight="1" x14ac:dyDescent="0.25">
      <c r="A61" s="53">
        <v>50</v>
      </c>
      <c r="B61" s="99">
        <v>94</v>
      </c>
      <c r="C61" s="63" t="str">
        <f t="shared" si="0"/>
        <v>CZE19970127</v>
      </c>
      <c r="D61" s="64" t="str">
        <f t="shared" si="8"/>
        <v xml:space="preserve">KOTOUČEK Matěj </v>
      </c>
      <c r="E61" s="65" t="str">
        <f t="shared" si="9"/>
        <v xml:space="preserve">TJ FAVORIT BRNO </v>
      </c>
      <c r="F61" s="66">
        <f t="shared" si="10"/>
        <v>9917</v>
      </c>
      <c r="G61" s="67" t="str">
        <f t="shared" si="11"/>
        <v>JUNIOR*</v>
      </c>
      <c r="H61" s="67" t="str">
        <f t="shared" si="12"/>
        <v>FAV</v>
      </c>
      <c r="I61" s="68">
        <v>7.8287037037037044E-2</v>
      </c>
      <c r="J61" s="31">
        <f t="shared" si="13"/>
        <v>3.587962962963015E-4</v>
      </c>
      <c r="K61" s="31">
        <f t="shared" si="16"/>
        <v>0</v>
      </c>
      <c r="M61" s="31"/>
      <c r="N61" s="31"/>
      <c r="O61" s="31"/>
      <c r="P61" s="150">
        <f t="shared" si="15"/>
        <v>7.8287037037037044E-2</v>
      </c>
      <c r="R61" s="158">
        <v>94</v>
      </c>
      <c r="S61" s="159">
        <v>50</v>
      </c>
      <c r="T61" s="157">
        <f t="shared" si="14"/>
        <v>94</v>
      </c>
      <c r="U61" s="160">
        <v>1</v>
      </c>
      <c r="V61" s="161">
        <v>64</v>
      </c>
      <c r="W61" s="157">
        <f t="shared" si="17"/>
        <v>0</v>
      </c>
    </row>
    <row r="62" spans="1:23" s="69" customFormat="1" ht="13.7" customHeight="1" x14ac:dyDescent="0.25">
      <c r="A62" s="53">
        <v>51</v>
      </c>
      <c r="B62" s="99">
        <v>136</v>
      </c>
      <c r="C62" s="63" t="str">
        <f t="shared" si="0"/>
        <v>AUT19970822</v>
      </c>
      <c r="D62" s="64" t="str">
        <f t="shared" si="8"/>
        <v>STEINDLER Julian</v>
      </c>
      <c r="E62" s="65" t="str">
        <f t="shared" si="9"/>
        <v>RC ARBÖ WELS GOURMETFEIN</v>
      </c>
      <c r="F62" s="66">
        <f t="shared" si="10"/>
        <v>100089</v>
      </c>
      <c r="G62" s="67" t="str">
        <f t="shared" si="11"/>
        <v>JUNIOR*</v>
      </c>
      <c r="H62" s="67" t="str">
        <f t="shared" si="12"/>
        <v>RCA</v>
      </c>
      <c r="I62" s="68">
        <v>7.8287037037037044E-2</v>
      </c>
      <c r="J62" s="31">
        <f t="shared" si="13"/>
        <v>3.587962962963015E-4</v>
      </c>
      <c r="K62" s="31">
        <f t="shared" si="16"/>
        <v>0</v>
      </c>
      <c r="M62" s="31"/>
      <c r="N62" s="31"/>
      <c r="O62" s="31"/>
      <c r="P62" s="150">
        <f t="shared" si="15"/>
        <v>7.8287037037037044E-2</v>
      </c>
      <c r="R62" s="158">
        <v>136</v>
      </c>
      <c r="S62" s="159">
        <v>51</v>
      </c>
      <c r="T62" s="157">
        <f t="shared" si="14"/>
        <v>136</v>
      </c>
      <c r="U62" s="160">
        <v>1</v>
      </c>
      <c r="V62" s="161">
        <v>65</v>
      </c>
      <c r="W62" s="157">
        <f t="shared" si="17"/>
        <v>1</v>
      </c>
    </row>
    <row r="63" spans="1:23" s="69" customFormat="1" ht="13.7" customHeight="1" x14ac:dyDescent="0.25">
      <c r="A63" s="53">
        <v>52</v>
      </c>
      <c r="B63" s="99">
        <v>6</v>
      </c>
      <c r="C63" s="63" t="str">
        <f t="shared" si="0"/>
        <v>GER19970811</v>
      </c>
      <c r="D63" s="64" t="str">
        <f t="shared" si="8"/>
        <v>LINTZEL Philip</v>
      </c>
      <c r="E63" s="65" t="str">
        <f t="shared" si="9"/>
        <v>RSC TURBINE ERFURT</v>
      </c>
      <c r="F63" s="66" t="str">
        <f t="shared" si="10"/>
        <v>THÜ173079</v>
      </c>
      <c r="G63" s="67" t="str">
        <f t="shared" si="11"/>
        <v>JUNIOR*</v>
      </c>
      <c r="H63" s="67" t="str">
        <f t="shared" si="12"/>
        <v>TUR</v>
      </c>
      <c r="I63" s="68">
        <v>7.8287037037037044E-2</v>
      </c>
      <c r="J63" s="31">
        <f t="shared" si="13"/>
        <v>3.587962962963015E-4</v>
      </c>
      <c r="K63" s="31">
        <f t="shared" si="16"/>
        <v>0</v>
      </c>
      <c r="M63" s="31"/>
      <c r="N63" s="31"/>
      <c r="O63" s="31"/>
      <c r="P63" s="150">
        <f t="shared" si="15"/>
        <v>7.8287037037037044E-2</v>
      </c>
      <c r="R63" s="158">
        <v>6</v>
      </c>
      <c r="S63" s="159">
        <v>52</v>
      </c>
      <c r="T63" s="157">
        <f t="shared" si="14"/>
        <v>6</v>
      </c>
      <c r="U63" s="160">
        <v>1</v>
      </c>
      <c r="V63" s="161">
        <v>66</v>
      </c>
      <c r="W63" s="157">
        <f t="shared" si="17"/>
        <v>0</v>
      </c>
    </row>
    <row r="64" spans="1:23" s="69" customFormat="1" ht="13.7" customHeight="1" x14ac:dyDescent="0.25">
      <c r="A64" s="53">
        <v>53</v>
      </c>
      <c r="B64" s="99">
        <v>146</v>
      </c>
      <c r="C64" s="63" t="str">
        <f t="shared" si="0"/>
        <v>CZE19980130</v>
      </c>
      <c r="D64" s="64" t="str">
        <f t="shared" si="8"/>
        <v xml:space="preserve">OTRUBA Jakub </v>
      </c>
      <c r="E64" s="65" t="str">
        <f t="shared" si="9"/>
        <v xml:space="preserve">MAPEI CYKLO KAŇKOVSKÝ </v>
      </c>
      <c r="F64" s="66">
        <f t="shared" si="10"/>
        <v>19627</v>
      </c>
      <c r="G64" s="67" t="str">
        <f t="shared" si="11"/>
        <v>CADET</v>
      </c>
      <c r="H64" s="67" t="str">
        <f t="shared" si="12"/>
        <v>MAP</v>
      </c>
      <c r="I64" s="68">
        <v>7.8287037037037044E-2</v>
      </c>
      <c r="J64" s="31">
        <f t="shared" si="13"/>
        <v>3.587962962963015E-4</v>
      </c>
      <c r="K64" s="31">
        <f t="shared" si="16"/>
        <v>0</v>
      </c>
      <c r="M64" s="31"/>
      <c r="N64" s="31"/>
      <c r="O64" s="31"/>
      <c r="P64" s="150">
        <f t="shared" si="15"/>
        <v>7.8287037037037044E-2</v>
      </c>
      <c r="R64" s="158">
        <v>146</v>
      </c>
      <c r="S64" s="159">
        <v>53</v>
      </c>
      <c r="T64" s="157">
        <f t="shared" si="14"/>
        <v>146</v>
      </c>
      <c r="U64" s="160">
        <v>1</v>
      </c>
      <c r="V64" s="161">
        <v>71</v>
      </c>
      <c r="W64" s="157">
        <f t="shared" si="17"/>
        <v>1</v>
      </c>
    </row>
    <row r="65" spans="1:23" s="69" customFormat="1" ht="13.7" customHeight="1" x14ac:dyDescent="0.25">
      <c r="A65" s="53">
        <v>54</v>
      </c>
      <c r="B65" s="99">
        <v>55</v>
      </c>
      <c r="C65" s="63" t="str">
        <f t="shared" si="0"/>
        <v>POL19981009</v>
      </c>
      <c r="D65" s="64" t="str">
        <f t="shared" si="8"/>
        <v>FABIAN Marcel</v>
      </c>
      <c r="E65" s="65" t="str">
        <f t="shared" si="9"/>
        <v>GRUPA KOLARSKA GLIWICE BA</v>
      </c>
      <c r="F65" s="66" t="str">
        <f t="shared" si="10"/>
        <v>SLA012</v>
      </c>
      <c r="G65" s="67" t="str">
        <f t="shared" si="11"/>
        <v>CADET</v>
      </c>
      <c r="H65" s="67" t="str">
        <f t="shared" si="12"/>
        <v>GLI</v>
      </c>
      <c r="I65" s="68">
        <v>7.8287037037037044E-2</v>
      </c>
      <c r="J65" s="31">
        <f t="shared" si="13"/>
        <v>3.587962962963015E-4</v>
      </c>
      <c r="K65" s="31">
        <f t="shared" si="16"/>
        <v>0</v>
      </c>
      <c r="M65" s="31"/>
      <c r="N65" s="31"/>
      <c r="O65" s="31"/>
      <c r="P65" s="150">
        <f t="shared" si="15"/>
        <v>7.8287037037037044E-2</v>
      </c>
      <c r="R65" s="158">
        <v>55</v>
      </c>
      <c r="S65" s="159">
        <v>54</v>
      </c>
      <c r="T65" s="157">
        <f t="shared" si="14"/>
        <v>55</v>
      </c>
      <c r="U65" s="160">
        <v>1</v>
      </c>
      <c r="V65" s="161">
        <v>72</v>
      </c>
      <c r="W65" s="157">
        <f t="shared" si="17"/>
        <v>1</v>
      </c>
    </row>
    <row r="66" spans="1:23" s="69" customFormat="1" ht="13.7" customHeight="1" x14ac:dyDescent="0.25">
      <c r="A66" s="53">
        <v>55</v>
      </c>
      <c r="B66" s="99">
        <v>97</v>
      </c>
      <c r="C66" s="63" t="str">
        <f t="shared" si="0"/>
        <v>SVK19961022</v>
      </c>
      <c r="D66" s="64" t="str">
        <f t="shared" si="8"/>
        <v xml:space="preserve">STRMISKA Andrej </v>
      </c>
      <c r="E66" s="65" t="str">
        <f t="shared" si="9"/>
        <v xml:space="preserve">TJ FAVORIT BRNO </v>
      </c>
      <c r="F66" s="66">
        <f t="shared" si="10"/>
        <v>6009</v>
      </c>
      <c r="G66" s="67" t="str">
        <f t="shared" si="11"/>
        <v>JUNIOR</v>
      </c>
      <c r="H66" s="67" t="str">
        <f t="shared" si="12"/>
        <v>FAV</v>
      </c>
      <c r="I66" s="68">
        <v>7.8287037037037044E-2</v>
      </c>
      <c r="J66" s="31">
        <f t="shared" si="13"/>
        <v>3.587962962963015E-4</v>
      </c>
      <c r="K66" s="31">
        <f t="shared" si="16"/>
        <v>0</v>
      </c>
      <c r="M66" s="31"/>
      <c r="N66" s="31"/>
      <c r="O66" s="31"/>
      <c r="P66" s="150">
        <f t="shared" si="15"/>
        <v>7.8287037037037044E-2</v>
      </c>
      <c r="R66" s="158">
        <v>97</v>
      </c>
      <c r="S66" s="159">
        <v>55</v>
      </c>
      <c r="T66" s="157">
        <f t="shared" si="14"/>
        <v>97</v>
      </c>
      <c r="U66" s="160">
        <v>1</v>
      </c>
      <c r="V66" s="161">
        <v>73</v>
      </c>
      <c r="W66" s="157">
        <f t="shared" si="17"/>
        <v>1</v>
      </c>
    </row>
    <row r="67" spans="1:23" s="69" customFormat="1" ht="13.7" customHeight="1" x14ac:dyDescent="0.25">
      <c r="A67" s="53">
        <v>56</v>
      </c>
      <c r="B67" s="99">
        <v>174</v>
      </c>
      <c r="C67" s="63" t="str">
        <f t="shared" si="0"/>
        <v>SVK19970730</v>
      </c>
      <c r="D67" s="64" t="str">
        <f t="shared" si="8"/>
        <v>JELŽA Nicolas</v>
      </c>
      <c r="E67" s="65" t="str">
        <f t="shared" si="9"/>
        <v xml:space="preserve">SLOVAK CYCLING FEDERATION </v>
      </c>
      <c r="F67" s="66">
        <f t="shared" si="10"/>
        <v>4237</v>
      </c>
      <c r="G67" s="67" t="str">
        <f t="shared" si="11"/>
        <v>JUNIOR*</v>
      </c>
      <c r="H67" s="67" t="str">
        <f t="shared" si="12"/>
        <v>SVK</v>
      </c>
      <c r="I67" s="68">
        <v>7.8287037037037044E-2</v>
      </c>
      <c r="J67" s="31">
        <f t="shared" si="13"/>
        <v>3.587962962963015E-4</v>
      </c>
      <c r="K67" s="31">
        <f t="shared" si="16"/>
        <v>0</v>
      </c>
      <c r="M67" s="31"/>
      <c r="N67" s="31"/>
      <c r="O67" s="31"/>
      <c r="P67" s="150">
        <f t="shared" si="15"/>
        <v>7.8287037037037044E-2</v>
      </c>
      <c r="R67" s="158">
        <v>174</v>
      </c>
      <c r="S67" s="159">
        <v>56</v>
      </c>
      <c r="T67" s="157">
        <f t="shared" si="14"/>
        <v>174</v>
      </c>
      <c r="U67" s="160">
        <v>1</v>
      </c>
      <c r="V67" s="161">
        <v>74</v>
      </c>
      <c r="W67" s="157">
        <f t="shared" si="17"/>
        <v>1</v>
      </c>
    </row>
    <row r="68" spans="1:23" s="69" customFormat="1" ht="13.7" customHeight="1" x14ac:dyDescent="0.25">
      <c r="A68" s="53">
        <v>57</v>
      </c>
      <c r="B68" s="99">
        <v>18</v>
      </c>
      <c r="C68" s="63" t="str">
        <f t="shared" si="0"/>
        <v>GER19980906</v>
      </c>
      <c r="D68" s="64" t="str">
        <f t="shared" si="8"/>
        <v>ZSCHOCKE Maximilian</v>
      </c>
      <c r="E68" s="65" t="str">
        <f t="shared" si="9"/>
        <v>JUNIOREN SCHWALBE TEAM SACHSEN</v>
      </c>
      <c r="F68" s="66" t="str">
        <f t="shared" si="10"/>
        <v>SAC 135079</v>
      </c>
      <c r="G68" s="67" t="str">
        <f t="shared" si="11"/>
        <v>CADET</v>
      </c>
      <c r="H68" s="67" t="str">
        <f t="shared" si="12"/>
        <v>SCW</v>
      </c>
      <c r="I68" s="68">
        <v>7.8287037037037044E-2</v>
      </c>
      <c r="J68" s="31">
        <f t="shared" si="13"/>
        <v>3.587962962963015E-4</v>
      </c>
      <c r="K68" s="31">
        <f t="shared" si="16"/>
        <v>0</v>
      </c>
      <c r="M68" s="31"/>
      <c r="N68" s="31"/>
      <c r="O68" s="31"/>
      <c r="P68" s="150">
        <f t="shared" si="15"/>
        <v>7.8287037037037044E-2</v>
      </c>
      <c r="R68" s="158">
        <v>18</v>
      </c>
      <c r="S68" s="159">
        <v>57</v>
      </c>
      <c r="T68" s="157">
        <f t="shared" si="14"/>
        <v>18</v>
      </c>
      <c r="U68" s="160">
        <v>1</v>
      </c>
      <c r="V68" s="161">
        <v>75</v>
      </c>
      <c r="W68" s="157">
        <f t="shared" si="17"/>
        <v>1</v>
      </c>
    </row>
    <row r="69" spans="1:23" s="69" customFormat="1" ht="13.7" customHeight="1" x14ac:dyDescent="0.25">
      <c r="A69" s="53">
        <v>58</v>
      </c>
      <c r="B69" s="99">
        <v>149</v>
      </c>
      <c r="C69" s="63" t="str">
        <f t="shared" si="0"/>
        <v>CZE19981228</v>
      </c>
      <c r="D69" s="64" t="str">
        <f t="shared" si="8"/>
        <v xml:space="preserve">WAGNER Jakub </v>
      </c>
      <c r="E69" s="65" t="str">
        <f t="shared" si="9"/>
        <v xml:space="preserve">MAPEI CYKLO KAŇKOVSKÝ </v>
      </c>
      <c r="F69" s="66">
        <f t="shared" si="10"/>
        <v>14090</v>
      </c>
      <c r="G69" s="67" t="str">
        <f t="shared" si="11"/>
        <v>CADET</v>
      </c>
      <c r="H69" s="67" t="str">
        <f t="shared" si="12"/>
        <v>MAP</v>
      </c>
      <c r="I69" s="68">
        <v>7.8287037037037044E-2</v>
      </c>
      <c r="J69" s="31">
        <f t="shared" si="13"/>
        <v>3.587962962963015E-4</v>
      </c>
      <c r="K69" s="31">
        <f t="shared" si="16"/>
        <v>0</v>
      </c>
      <c r="M69" s="31"/>
      <c r="N69" s="31"/>
      <c r="O69" s="31"/>
      <c r="P69" s="150">
        <f t="shared" si="15"/>
        <v>7.8287037037037044E-2</v>
      </c>
      <c r="R69" s="158">
        <v>149</v>
      </c>
      <c r="S69" s="159">
        <v>58</v>
      </c>
      <c r="T69" s="157">
        <f t="shared" si="14"/>
        <v>149</v>
      </c>
      <c r="U69" s="160">
        <v>1</v>
      </c>
      <c r="V69" s="161">
        <v>81</v>
      </c>
      <c r="W69" s="157">
        <f t="shared" si="17"/>
        <v>1</v>
      </c>
    </row>
    <row r="70" spans="1:23" s="69" customFormat="1" ht="13.7" customHeight="1" x14ac:dyDescent="0.25">
      <c r="A70" s="53">
        <v>59</v>
      </c>
      <c r="B70" s="99">
        <v>14</v>
      </c>
      <c r="C70" s="63" t="str">
        <f t="shared" si="0"/>
        <v>GER19970806</v>
      </c>
      <c r="D70" s="64" t="str">
        <f t="shared" si="8"/>
        <v>BINAY Noah</v>
      </c>
      <c r="E70" s="65" t="str">
        <f t="shared" si="9"/>
        <v>JUNIOREN SCHWALBE TEAM SACHSEN</v>
      </c>
      <c r="F70" s="66" t="str">
        <f t="shared" si="10"/>
        <v>SAC 142218</v>
      </c>
      <c r="G70" s="67" t="str">
        <f t="shared" si="11"/>
        <v>JUNIOR*</v>
      </c>
      <c r="H70" s="67" t="str">
        <f t="shared" si="12"/>
        <v>SCW</v>
      </c>
      <c r="I70" s="68">
        <v>7.8287037037037044E-2</v>
      </c>
      <c r="J70" s="31">
        <f t="shared" si="13"/>
        <v>3.587962962963015E-4</v>
      </c>
      <c r="K70" s="31">
        <f t="shared" si="16"/>
        <v>0</v>
      </c>
      <c r="M70" s="31"/>
      <c r="N70" s="31"/>
      <c r="O70" s="31"/>
      <c r="P70" s="150">
        <f t="shared" si="15"/>
        <v>7.8287037037037044E-2</v>
      </c>
      <c r="R70" s="158">
        <v>14</v>
      </c>
      <c r="S70" s="159">
        <v>59</v>
      </c>
      <c r="T70" s="157">
        <f t="shared" si="14"/>
        <v>14</v>
      </c>
      <c r="U70" s="160">
        <v>1</v>
      </c>
      <c r="V70" s="161">
        <v>82</v>
      </c>
      <c r="W70" s="157">
        <f t="shared" si="17"/>
        <v>1</v>
      </c>
    </row>
    <row r="71" spans="1:23" s="69" customFormat="1" ht="13.7" customHeight="1" x14ac:dyDescent="0.25">
      <c r="A71" s="53">
        <v>60</v>
      </c>
      <c r="B71" s="99">
        <v>181</v>
      </c>
      <c r="C71" s="63" t="str">
        <f t="shared" si="0"/>
        <v>AUT19960516</v>
      </c>
      <c r="D71" s="64" t="str">
        <f t="shared" si="8"/>
        <v>DYCZEK Felix</v>
      </c>
      <c r="E71" s="65" t="str">
        <f t="shared" si="9"/>
        <v xml:space="preserve">LRV STEIERMARK </v>
      </c>
      <c r="F71" s="66">
        <f t="shared" si="10"/>
        <v>100824</v>
      </c>
      <c r="G71" s="67" t="str">
        <f t="shared" si="11"/>
        <v>JUNIOR</v>
      </c>
      <c r="H71" s="67" t="str">
        <f t="shared" si="12"/>
        <v>LRV</v>
      </c>
      <c r="I71" s="68">
        <v>7.8287037037037044E-2</v>
      </c>
      <c r="J71" s="31">
        <f t="shared" si="13"/>
        <v>3.587962962963015E-4</v>
      </c>
      <c r="K71" s="31">
        <f t="shared" si="16"/>
        <v>0</v>
      </c>
      <c r="M71" s="31"/>
      <c r="N71" s="31"/>
      <c r="O71" s="31"/>
      <c r="P71" s="150">
        <f t="shared" si="15"/>
        <v>7.8287037037037044E-2</v>
      </c>
      <c r="R71" s="158">
        <v>181</v>
      </c>
      <c r="S71" s="159">
        <v>60</v>
      </c>
      <c r="T71" s="157">
        <f t="shared" si="14"/>
        <v>181</v>
      </c>
      <c r="U71" s="160">
        <v>1</v>
      </c>
      <c r="V71" s="161">
        <v>83</v>
      </c>
      <c r="W71" s="157">
        <f t="shared" si="17"/>
        <v>1</v>
      </c>
    </row>
    <row r="72" spans="1:23" s="69" customFormat="1" ht="13.7" customHeight="1" x14ac:dyDescent="0.25">
      <c r="A72" s="53">
        <v>61</v>
      </c>
      <c r="B72" s="99">
        <v>51</v>
      </c>
      <c r="C72" s="63" t="str">
        <f t="shared" si="0"/>
        <v>CZE19980726</v>
      </c>
      <c r="D72" s="64" t="str">
        <f t="shared" si="8"/>
        <v xml:space="preserve">POKORNÝ Petr </v>
      </c>
      <c r="E72" s="65" t="str">
        <f t="shared" si="9"/>
        <v xml:space="preserve">ACK STARÁ VES NAD ONDŘEJNICÍ </v>
      </c>
      <c r="F72" s="66">
        <f t="shared" si="10"/>
        <v>9870</v>
      </c>
      <c r="G72" s="67" t="str">
        <f t="shared" si="11"/>
        <v>CADET</v>
      </c>
      <c r="H72" s="67" t="str">
        <f t="shared" si="12"/>
        <v>GLI</v>
      </c>
      <c r="I72" s="68">
        <v>7.8287037037037044E-2</v>
      </c>
      <c r="J72" s="31">
        <f t="shared" si="13"/>
        <v>3.587962962963015E-4</v>
      </c>
      <c r="K72" s="31">
        <f t="shared" si="16"/>
        <v>0</v>
      </c>
      <c r="M72" s="31"/>
      <c r="N72" s="31"/>
      <c r="O72" s="31"/>
      <c r="P72" s="150">
        <f t="shared" si="15"/>
        <v>7.8287037037037044E-2</v>
      </c>
      <c r="R72" s="158">
        <v>51</v>
      </c>
      <c r="S72" s="159">
        <v>61</v>
      </c>
      <c r="T72" s="157">
        <f t="shared" si="14"/>
        <v>51</v>
      </c>
      <c r="U72" s="160">
        <v>1</v>
      </c>
      <c r="V72" s="161">
        <v>84</v>
      </c>
      <c r="W72" s="157">
        <f t="shared" si="17"/>
        <v>1</v>
      </c>
    </row>
    <row r="73" spans="1:23" s="69" customFormat="1" ht="13.7" customHeight="1" x14ac:dyDescent="0.25">
      <c r="A73" s="53">
        <v>62</v>
      </c>
      <c r="B73" s="99">
        <v>112</v>
      </c>
      <c r="C73" s="63" t="str">
        <f t="shared" si="0"/>
        <v>GER19970122</v>
      </c>
      <c r="D73" s="64" t="str">
        <f t="shared" si="8"/>
        <v>BERAN Andy</v>
      </c>
      <c r="E73" s="65" t="str">
        <f t="shared" si="9"/>
        <v>TEAM BRANDENBURG - RSC COTTBUS</v>
      </c>
      <c r="F73" s="66" t="str">
        <f t="shared" si="10"/>
        <v>604254-11</v>
      </c>
      <c r="G73" s="67" t="str">
        <f t="shared" si="11"/>
        <v>JUNIOR*</v>
      </c>
      <c r="H73" s="67" t="str">
        <f t="shared" si="12"/>
        <v>COT</v>
      </c>
      <c r="I73" s="68">
        <v>7.8287037037037044E-2</v>
      </c>
      <c r="J73" s="31">
        <f t="shared" si="13"/>
        <v>3.587962962963015E-4</v>
      </c>
      <c r="K73" s="31">
        <f t="shared" si="16"/>
        <v>0</v>
      </c>
      <c r="M73" s="31"/>
      <c r="N73" s="31"/>
      <c r="O73" s="31"/>
      <c r="P73" s="150">
        <f t="shared" si="15"/>
        <v>7.8287037037037044E-2</v>
      </c>
      <c r="R73" s="158">
        <v>112</v>
      </c>
      <c r="S73" s="159">
        <v>62</v>
      </c>
      <c r="T73" s="157">
        <f t="shared" si="14"/>
        <v>112</v>
      </c>
      <c r="U73" s="160">
        <v>1</v>
      </c>
      <c r="V73" s="161">
        <v>85</v>
      </c>
      <c r="W73" s="157">
        <f t="shared" si="17"/>
        <v>1</v>
      </c>
    </row>
    <row r="74" spans="1:23" s="69" customFormat="1" ht="13.7" customHeight="1" x14ac:dyDescent="0.25">
      <c r="A74" s="53">
        <v>63</v>
      </c>
      <c r="B74" s="99">
        <v>164</v>
      </c>
      <c r="C74" s="63" t="str">
        <f t="shared" si="0"/>
        <v>RUS19970224</v>
      </c>
      <c r="D74" s="64" t="str">
        <f t="shared" si="8"/>
        <v>RIKUNOV Petr</v>
      </c>
      <c r="E74" s="65" t="str">
        <f t="shared" si="9"/>
        <v>RUSSIAN CYCLING FEDERATION</v>
      </c>
      <c r="F74" s="66" t="str">
        <f t="shared" si="10"/>
        <v>B0273</v>
      </c>
      <c r="G74" s="67" t="str">
        <f t="shared" si="11"/>
        <v>JUNIOR*</v>
      </c>
      <c r="H74" s="67" t="str">
        <f t="shared" si="12"/>
        <v>RUS</v>
      </c>
      <c r="I74" s="68">
        <v>7.8287037037037044E-2</v>
      </c>
      <c r="J74" s="31">
        <f t="shared" si="13"/>
        <v>3.587962962963015E-4</v>
      </c>
      <c r="K74" s="31">
        <f t="shared" si="16"/>
        <v>0</v>
      </c>
      <c r="M74" s="31"/>
      <c r="N74" s="31"/>
      <c r="O74" s="31"/>
      <c r="P74" s="150">
        <f t="shared" si="15"/>
        <v>7.8287037037037044E-2</v>
      </c>
      <c r="R74" s="158">
        <v>164</v>
      </c>
      <c r="S74" s="159">
        <v>63</v>
      </c>
      <c r="T74" s="157">
        <f t="shared" si="14"/>
        <v>164</v>
      </c>
      <c r="U74" s="160">
        <v>1</v>
      </c>
      <c r="V74" s="161">
        <v>91</v>
      </c>
      <c r="W74" s="157">
        <f t="shared" si="17"/>
        <v>0</v>
      </c>
    </row>
    <row r="75" spans="1:23" s="69" customFormat="1" ht="13.7" customHeight="1" x14ac:dyDescent="0.25">
      <c r="A75" s="53">
        <v>64</v>
      </c>
      <c r="B75" s="99">
        <v>132</v>
      </c>
      <c r="C75" s="63" t="str">
        <f t="shared" si="0"/>
        <v>AUT19961021</v>
      </c>
      <c r="D75" s="64" t="str">
        <f t="shared" si="8"/>
        <v>KNAPP Daniel</v>
      </c>
      <c r="E75" s="65" t="str">
        <f t="shared" si="9"/>
        <v>UNION RAIFFEISEN RADTEAM TIROL</v>
      </c>
      <c r="F75" s="66">
        <f t="shared" si="10"/>
        <v>100480</v>
      </c>
      <c r="G75" s="67" t="str">
        <f t="shared" si="11"/>
        <v>JUNIOR</v>
      </c>
      <c r="H75" s="67" t="str">
        <f t="shared" si="12"/>
        <v>RCA</v>
      </c>
      <c r="I75" s="68">
        <v>7.8287037037037044E-2</v>
      </c>
      <c r="J75" s="31">
        <f t="shared" si="13"/>
        <v>3.587962962963015E-4</v>
      </c>
      <c r="K75" s="31">
        <f t="shared" si="16"/>
        <v>3.4722222222222222E-5</v>
      </c>
      <c r="M75" s="31">
        <v>3.4722222222222222E-5</v>
      </c>
      <c r="N75" s="31"/>
      <c r="O75" s="31"/>
      <c r="P75" s="150">
        <f t="shared" si="15"/>
        <v>7.8252314814814816E-2</v>
      </c>
      <c r="R75" s="158">
        <v>132</v>
      </c>
      <c r="S75" s="159">
        <v>64</v>
      </c>
      <c r="T75" s="157">
        <f t="shared" si="14"/>
        <v>132</v>
      </c>
      <c r="U75" s="160">
        <v>1</v>
      </c>
      <c r="V75" s="161">
        <v>92</v>
      </c>
      <c r="W75" s="157">
        <f t="shared" si="17"/>
        <v>0</v>
      </c>
    </row>
    <row r="76" spans="1:23" s="69" customFormat="1" ht="13.7" customHeight="1" x14ac:dyDescent="0.25">
      <c r="A76" s="53">
        <v>65</v>
      </c>
      <c r="B76" s="99">
        <v>4</v>
      </c>
      <c r="C76" s="63" t="str">
        <f t="shared" ref="C76:C139" si="18">VLOOKUP(B76,STARTOVKA,2,0)</f>
        <v>GER19960212</v>
      </c>
      <c r="D76" s="64" t="str">
        <f t="shared" si="8"/>
        <v>SCHUBERT Erik</v>
      </c>
      <c r="E76" s="65" t="str">
        <f t="shared" si="9"/>
        <v>RV ELXLEBEN</v>
      </c>
      <c r="F76" s="66" t="str">
        <f t="shared" si="10"/>
        <v>THÜ170276</v>
      </c>
      <c r="G76" s="67" t="str">
        <f t="shared" si="11"/>
        <v>JUNIOR</v>
      </c>
      <c r="H76" s="67" t="str">
        <f t="shared" si="12"/>
        <v>TUR</v>
      </c>
      <c r="I76" s="68">
        <v>7.8287037037037044E-2</v>
      </c>
      <c r="J76" s="31">
        <f t="shared" si="13"/>
        <v>3.587962962963015E-4</v>
      </c>
      <c r="K76" s="31">
        <f t="shared" ref="K76:K107" si="19">M76+N76</f>
        <v>0</v>
      </c>
      <c r="M76" s="31"/>
      <c r="N76" s="31"/>
      <c r="O76" s="31"/>
      <c r="P76" s="150">
        <f t="shared" si="15"/>
        <v>7.8287037037037044E-2</v>
      </c>
      <c r="R76" s="158">
        <v>4</v>
      </c>
      <c r="S76" s="159">
        <v>65</v>
      </c>
      <c r="T76" s="157">
        <f t="shared" si="14"/>
        <v>4</v>
      </c>
      <c r="U76" s="160">
        <v>1</v>
      </c>
      <c r="V76" s="161">
        <v>93</v>
      </c>
      <c r="W76" s="157">
        <f t="shared" ref="W76:W107" si="20">SUMIF(T:T,V:V,U:U)</f>
        <v>1</v>
      </c>
    </row>
    <row r="77" spans="1:23" s="69" customFormat="1" ht="13.7" customHeight="1" x14ac:dyDescent="0.25">
      <c r="A77" s="53">
        <v>66</v>
      </c>
      <c r="B77" s="99">
        <v>53</v>
      </c>
      <c r="C77" s="63" t="str">
        <f t="shared" si="18"/>
        <v>CZE19980914</v>
      </c>
      <c r="D77" s="64" t="str">
        <f t="shared" ref="D77:D140" si="21">VLOOKUP(B77,STARTOVKA,3,0)</f>
        <v>TRACHTULEC Petr</v>
      </c>
      <c r="E77" s="65" t="str">
        <f t="shared" ref="E77:E140" si="22">VLOOKUP(B77,STARTOVKA,4,0)</f>
        <v>CK FESO PETŘVALD</v>
      </c>
      <c r="F77" s="66">
        <f t="shared" ref="F77:F140" si="23">VLOOKUP(B77,STARTOVKA,5,0)</f>
        <v>20073</v>
      </c>
      <c r="G77" s="67" t="str">
        <f t="shared" ref="G77:G140" si="24">VLOOKUP(B77,STARTOVKA,6,0)</f>
        <v>CADET</v>
      </c>
      <c r="H77" s="67" t="str">
        <f t="shared" ref="H77:H140" si="25">VLOOKUP(B77,STARTOVKA,7,0)</f>
        <v>GLI</v>
      </c>
      <c r="I77" s="68">
        <v>7.8287037037037044E-2</v>
      </c>
      <c r="J77" s="31">
        <f t="shared" ref="J77:J129" si="26">I77-$I$12</f>
        <v>3.587962962963015E-4</v>
      </c>
      <c r="K77" s="31">
        <f t="shared" si="19"/>
        <v>0</v>
      </c>
      <c r="M77" s="31"/>
      <c r="N77" s="31"/>
      <c r="O77" s="31"/>
      <c r="P77" s="150">
        <f t="shared" si="15"/>
        <v>7.8287037037037044E-2</v>
      </c>
      <c r="R77" s="158">
        <v>53</v>
      </c>
      <c r="S77" s="159">
        <v>66</v>
      </c>
      <c r="T77" s="157">
        <f t="shared" ref="T77:T141" si="27">IF(R77&lt;&gt;"",R77,"")</f>
        <v>53</v>
      </c>
      <c r="U77" s="160">
        <v>1</v>
      </c>
      <c r="V77" s="161">
        <v>94</v>
      </c>
      <c r="W77" s="157">
        <f t="shared" si="20"/>
        <v>1</v>
      </c>
    </row>
    <row r="78" spans="1:23" s="69" customFormat="1" ht="13.7" customHeight="1" x14ac:dyDescent="0.25">
      <c r="A78" s="53">
        <v>67</v>
      </c>
      <c r="B78" s="99">
        <v>114</v>
      </c>
      <c r="C78" s="63" t="str">
        <f t="shared" si="18"/>
        <v>GER19960823</v>
      </c>
      <c r="D78" s="64" t="str">
        <f t="shared" si="21"/>
        <v>SCHLOTT Julius</v>
      </c>
      <c r="E78" s="65" t="str">
        <f t="shared" si="22"/>
        <v>TEAM BRANDENBURG - RSC COTTBUS</v>
      </c>
      <c r="F78" s="66" t="str">
        <f t="shared" si="23"/>
        <v>044086-11</v>
      </c>
      <c r="G78" s="67" t="str">
        <f t="shared" si="24"/>
        <v>JUNIOR</v>
      </c>
      <c r="H78" s="67" t="str">
        <f t="shared" si="25"/>
        <v>COT</v>
      </c>
      <c r="I78" s="68">
        <v>7.8287037037037044E-2</v>
      </c>
      <c r="J78" s="31">
        <f t="shared" si="26"/>
        <v>3.587962962963015E-4</v>
      </c>
      <c r="K78" s="31">
        <f t="shared" si="19"/>
        <v>0</v>
      </c>
      <c r="M78" s="31"/>
      <c r="N78" s="31"/>
      <c r="O78" s="31"/>
      <c r="P78" s="150">
        <f t="shared" ref="P78:P129" si="28">I78-K78+O78</f>
        <v>7.8287037037037044E-2</v>
      </c>
      <c r="R78" s="158">
        <v>114</v>
      </c>
      <c r="S78" s="159">
        <v>67</v>
      </c>
      <c r="T78" s="157">
        <f t="shared" si="27"/>
        <v>114</v>
      </c>
      <c r="U78" s="160">
        <v>1</v>
      </c>
      <c r="V78" s="161">
        <v>95</v>
      </c>
      <c r="W78" s="157">
        <f t="shared" si="20"/>
        <v>1</v>
      </c>
    </row>
    <row r="79" spans="1:23" s="69" customFormat="1" ht="13.7" customHeight="1" x14ac:dyDescent="0.25">
      <c r="A79" s="53">
        <v>68</v>
      </c>
      <c r="B79" s="99">
        <v>176</v>
      </c>
      <c r="C79" s="63" t="str">
        <f t="shared" si="18"/>
        <v>SVK19960130</v>
      </c>
      <c r="D79" s="64" t="str">
        <f t="shared" si="21"/>
        <v>BELLAN Juraj</v>
      </c>
      <c r="E79" s="65" t="str">
        <f t="shared" si="22"/>
        <v xml:space="preserve">SLOVAK CYCLING FEDERATION </v>
      </c>
      <c r="F79" s="66">
        <f t="shared" si="23"/>
        <v>5681</v>
      </c>
      <c r="G79" s="67" t="str">
        <f t="shared" si="24"/>
        <v>JUNIOR</v>
      </c>
      <c r="H79" s="67" t="str">
        <f t="shared" si="25"/>
        <v>SVK</v>
      </c>
      <c r="I79" s="68">
        <v>7.8287037037037044E-2</v>
      </c>
      <c r="J79" s="31">
        <f t="shared" si="26"/>
        <v>3.587962962963015E-4</v>
      </c>
      <c r="K79" s="31">
        <f t="shared" si="19"/>
        <v>0</v>
      </c>
      <c r="M79" s="31"/>
      <c r="N79" s="31"/>
      <c r="O79" s="31"/>
      <c r="P79" s="150">
        <f t="shared" si="28"/>
        <v>7.8287037037037044E-2</v>
      </c>
      <c r="R79" s="158">
        <v>176</v>
      </c>
      <c r="S79" s="159">
        <v>68</v>
      </c>
      <c r="T79" s="157">
        <f t="shared" si="27"/>
        <v>176</v>
      </c>
      <c r="U79" s="160">
        <v>1</v>
      </c>
      <c r="V79" s="161">
        <v>96</v>
      </c>
      <c r="W79" s="157">
        <f t="shared" si="20"/>
        <v>1</v>
      </c>
    </row>
    <row r="80" spans="1:23" s="69" customFormat="1" ht="13.7" customHeight="1" x14ac:dyDescent="0.25">
      <c r="A80" s="53">
        <v>69</v>
      </c>
      <c r="B80" s="99">
        <v>133</v>
      </c>
      <c r="C80" s="63" t="str">
        <f t="shared" si="18"/>
        <v>CZE19960924</v>
      </c>
      <c r="D80" s="64" t="str">
        <f t="shared" si="21"/>
        <v>CAMRDA Pavel</v>
      </c>
      <c r="E80" s="65" t="str">
        <f t="shared" si="22"/>
        <v>RC ARBÖ WELS GOURMETFEIN</v>
      </c>
      <c r="F80" s="66">
        <f t="shared" si="23"/>
        <v>8509</v>
      </c>
      <c r="G80" s="67" t="str">
        <f t="shared" si="24"/>
        <v>JUNIOR</v>
      </c>
      <c r="H80" s="67" t="str">
        <f t="shared" si="25"/>
        <v>RCA</v>
      </c>
      <c r="I80" s="68">
        <v>7.8287037037037044E-2</v>
      </c>
      <c r="J80" s="31">
        <f t="shared" si="26"/>
        <v>3.587962962963015E-4</v>
      </c>
      <c r="K80" s="31">
        <f t="shared" si="19"/>
        <v>0</v>
      </c>
      <c r="M80" s="31"/>
      <c r="N80" s="31"/>
      <c r="O80" s="31"/>
      <c r="P80" s="150">
        <f t="shared" si="28"/>
        <v>7.8287037037037044E-2</v>
      </c>
      <c r="R80" s="158">
        <v>133</v>
      </c>
      <c r="S80" s="159">
        <v>69</v>
      </c>
      <c r="T80" s="157">
        <f t="shared" si="27"/>
        <v>133</v>
      </c>
      <c r="U80" s="160">
        <v>1</v>
      </c>
      <c r="V80" s="161">
        <v>97</v>
      </c>
      <c r="W80" s="157">
        <f t="shared" si="20"/>
        <v>1</v>
      </c>
    </row>
    <row r="81" spans="1:23" s="69" customFormat="1" ht="13.7" customHeight="1" x14ac:dyDescent="0.25">
      <c r="A81" s="53">
        <v>70</v>
      </c>
      <c r="B81" s="99">
        <v>52</v>
      </c>
      <c r="C81" s="63" t="str">
        <f t="shared" si="18"/>
        <v>POL19961008</v>
      </c>
      <c r="D81" s="64" t="str">
        <f t="shared" si="21"/>
        <v>ZLOTOWICZ Patryk</v>
      </c>
      <c r="E81" s="65" t="str">
        <f t="shared" si="22"/>
        <v>KLUCZBORK</v>
      </c>
      <c r="F81" s="66" t="str">
        <f t="shared" si="23"/>
        <v>OPO-016</v>
      </c>
      <c r="G81" s="67" t="str">
        <f t="shared" si="24"/>
        <v>JUNIOR</v>
      </c>
      <c r="H81" s="67" t="str">
        <f t="shared" si="25"/>
        <v>GLI</v>
      </c>
      <c r="I81" s="68">
        <v>7.8287037037037044E-2</v>
      </c>
      <c r="J81" s="31">
        <f t="shared" si="26"/>
        <v>3.587962962963015E-4</v>
      </c>
      <c r="K81" s="31">
        <f t="shared" si="19"/>
        <v>0</v>
      </c>
      <c r="M81" s="31"/>
      <c r="N81" s="31"/>
      <c r="O81" s="31"/>
      <c r="P81" s="150">
        <f t="shared" si="28"/>
        <v>7.8287037037037044E-2</v>
      </c>
      <c r="R81" s="158">
        <v>52</v>
      </c>
      <c r="S81" s="159">
        <v>70</v>
      </c>
      <c r="T81" s="157">
        <f t="shared" si="27"/>
        <v>52</v>
      </c>
      <c r="U81" s="160">
        <v>1</v>
      </c>
      <c r="V81" s="161">
        <v>98</v>
      </c>
      <c r="W81" s="157">
        <f t="shared" si="20"/>
        <v>0</v>
      </c>
    </row>
    <row r="82" spans="1:23" s="69" customFormat="1" ht="13.7" customHeight="1" x14ac:dyDescent="0.25">
      <c r="A82" s="53">
        <v>71</v>
      </c>
      <c r="B82" s="99">
        <v>105</v>
      </c>
      <c r="C82" s="63" t="str">
        <f t="shared" si="18"/>
        <v>CZE19960511</v>
      </c>
      <c r="D82" s="64" t="str">
        <f t="shared" si="21"/>
        <v xml:space="preserve">RAJCHART Jan </v>
      </c>
      <c r="E82" s="65" t="str">
        <f t="shared" si="22"/>
        <v xml:space="preserve">NUTREND SPECIALIZED RACING </v>
      </c>
      <c r="F82" s="66">
        <f t="shared" si="23"/>
        <v>7437</v>
      </c>
      <c r="G82" s="67" t="str">
        <f t="shared" si="24"/>
        <v>JUNIOR</v>
      </c>
      <c r="H82" s="67" t="str">
        <f t="shared" si="25"/>
        <v>LOU</v>
      </c>
      <c r="I82" s="68">
        <v>7.8287037037037044E-2</v>
      </c>
      <c r="J82" s="31">
        <f t="shared" si="26"/>
        <v>3.587962962963015E-4</v>
      </c>
      <c r="K82" s="31">
        <f t="shared" si="19"/>
        <v>0</v>
      </c>
      <c r="M82" s="31"/>
      <c r="N82" s="31"/>
      <c r="O82" s="31"/>
      <c r="P82" s="150">
        <f t="shared" si="28"/>
        <v>7.8287037037037044E-2</v>
      </c>
      <c r="R82" s="158">
        <v>105</v>
      </c>
      <c r="S82" s="159">
        <v>71</v>
      </c>
      <c r="T82" s="157">
        <f t="shared" si="27"/>
        <v>105</v>
      </c>
      <c r="U82" s="160">
        <v>1</v>
      </c>
      <c r="V82" s="161">
        <v>101</v>
      </c>
      <c r="W82" s="157">
        <f t="shared" si="20"/>
        <v>1</v>
      </c>
    </row>
    <row r="83" spans="1:23" s="69" customFormat="1" ht="13.7" customHeight="1" x14ac:dyDescent="0.25">
      <c r="A83" s="53">
        <v>72</v>
      </c>
      <c r="B83" s="99">
        <v>56</v>
      </c>
      <c r="C83" s="63" t="str">
        <f t="shared" si="18"/>
        <v>POL19970322</v>
      </c>
      <c r="D83" s="64" t="str">
        <f t="shared" si="21"/>
        <v>FOLTYN Maciej</v>
      </c>
      <c r="E83" s="65" t="str">
        <f t="shared" si="22"/>
        <v>GRUPA KOLARSKA GLIWICE BA</v>
      </c>
      <c r="F83" s="66" t="str">
        <f t="shared" si="23"/>
        <v>SLA219</v>
      </c>
      <c r="G83" s="67" t="str">
        <f t="shared" si="24"/>
        <v>JUNIOR*</v>
      </c>
      <c r="H83" s="67" t="str">
        <f t="shared" si="25"/>
        <v>GLI</v>
      </c>
      <c r="I83" s="68">
        <v>7.8287037037037044E-2</v>
      </c>
      <c r="J83" s="31">
        <f t="shared" si="26"/>
        <v>3.587962962963015E-4</v>
      </c>
      <c r="K83" s="31">
        <f t="shared" si="19"/>
        <v>0</v>
      </c>
      <c r="M83" s="31"/>
      <c r="N83" s="31"/>
      <c r="O83" s="31"/>
      <c r="P83" s="150">
        <f t="shared" si="28"/>
        <v>7.8287037037037044E-2</v>
      </c>
      <c r="R83" s="158">
        <v>56</v>
      </c>
      <c r="S83" s="159">
        <v>72</v>
      </c>
      <c r="T83" s="157">
        <f t="shared" si="27"/>
        <v>56</v>
      </c>
      <c r="U83" s="160">
        <v>1</v>
      </c>
      <c r="V83" s="161">
        <v>102</v>
      </c>
      <c r="W83" s="157">
        <f t="shared" si="20"/>
        <v>1</v>
      </c>
    </row>
    <row r="84" spans="1:23" s="69" customFormat="1" ht="13.7" customHeight="1" x14ac:dyDescent="0.25">
      <c r="A84" s="53">
        <v>73</v>
      </c>
      <c r="B84" s="99">
        <v>58</v>
      </c>
      <c r="C84" s="63" t="str">
        <f t="shared" si="18"/>
        <v>CZE19970902</v>
      </c>
      <c r="D84" s="64" t="str">
        <f t="shared" si="21"/>
        <v xml:space="preserve">VÝVODA Jan </v>
      </c>
      <c r="E84" s="65" t="str">
        <f t="shared" si="22"/>
        <v xml:space="preserve">TJ SIGMA HRANICE </v>
      </c>
      <c r="F84" s="66">
        <f t="shared" si="23"/>
        <v>7780</v>
      </c>
      <c r="G84" s="67" t="str">
        <f t="shared" si="24"/>
        <v>JUNIOR*</v>
      </c>
      <c r="H84" s="67" t="str">
        <f t="shared" si="25"/>
        <v>GLI</v>
      </c>
      <c r="I84" s="68">
        <v>7.8287037037037044E-2</v>
      </c>
      <c r="J84" s="31">
        <f t="shared" si="26"/>
        <v>3.587962962963015E-4</v>
      </c>
      <c r="K84" s="31">
        <f t="shared" si="19"/>
        <v>0</v>
      </c>
      <c r="M84" s="31"/>
      <c r="N84" s="31"/>
      <c r="O84" s="31"/>
      <c r="P84" s="150">
        <f t="shared" si="28"/>
        <v>7.8287037037037044E-2</v>
      </c>
      <c r="R84" s="158">
        <v>58</v>
      </c>
      <c r="S84" s="159">
        <v>73</v>
      </c>
      <c r="T84" s="157">
        <f t="shared" si="27"/>
        <v>58</v>
      </c>
      <c r="U84" s="160">
        <v>1</v>
      </c>
      <c r="V84" s="161">
        <v>103</v>
      </c>
      <c r="W84" s="157">
        <f t="shared" si="20"/>
        <v>1</v>
      </c>
    </row>
    <row r="85" spans="1:23" s="69" customFormat="1" ht="13.7" customHeight="1" x14ac:dyDescent="0.25">
      <c r="A85" s="53">
        <v>74</v>
      </c>
      <c r="B85" s="99">
        <v>187</v>
      </c>
      <c r="C85" s="63" t="str">
        <f t="shared" si="18"/>
        <v>AUT19970913</v>
      </c>
      <c r="D85" s="64" t="str">
        <f t="shared" si="21"/>
        <v>DALLINGER Christian</v>
      </c>
      <c r="E85" s="65" t="str">
        <f t="shared" si="22"/>
        <v xml:space="preserve">LRV STEIERMARK </v>
      </c>
      <c r="F85" s="66">
        <f t="shared" si="23"/>
        <v>100350</v>
      </c>
      <c r="G85" s="67" t="str">
        <f t="shared" si="24"/>
        <v>JUNIOR*</v>
      </c>
      <c r="H85" s="67" t="str">
        <f t="shared" si="25"/>
        <v>LRV</v>
      </c>
      <c r="I85" s="68">
        <v>7.8287037037037044E-2</v>
      </c>
      <c r="J85" s="31">
        <f t="shared" si="26"/>
        <v>3.587962962963015E-4</v>
      </c>
      <c r="K85" s="31">
        <f t="shared" si="19"/>
        <v>0</v>
      </c>
      <c r="M85" s="31"/>
      <c r="N85" s="31"/>
      <c r="O85" s="31"/>
      <c r="P85" s="150">
        <f t="shared" si="28"/>
        <v>7.8287037037037044E-2</v>
      </c>
      <c r="R85" s="158">
        <v>187</v>
      </c>
      <c r="S85" s="159">
        <v>74</v>
      </c>
      <c r="T85" s="157">
        <f t="shared" si="27"/>
        <v>187</v>
      </c>
      <c r="U85" s="160">
        <v>1</v>
      </c>
      <c r="V85" s="161">
        <v>104</v>
      </c>
      <c r="W85" s="157">
        <f t="shared" si="20"/>
        <v>1</v>
      </c>
    </row>
    <row r="86" spans="1:23" s="69" customFormat="1" ht="13.7" customHeight="1" x14ac:dyDescent="0.25">
      <c r="A86" s="53">
        <v>75</v>
      </c>
      <c r="B86" s="99">
        <v>125</v>
      </c>
      <c r="C86" s="63" t="str">
        <f t="shared" si="18"/>
        <v>CZE19970118</v>
      </c>
      <c r="D86" s="64" t="str">
        <f t="shared" si="21"/>
        <v>MAYER Daniel</v>
      </c>
      <c r="E86" s="65" t="str">
        <f t="shared" si="22"/>
        <v>KC HLINSKO</v>
      </c>
      <c r="F86" s="66">
        <f t="shared" si="23"/>
        <v>13274</v>
      </c>
      <c r="G86" s="67" t="str">
        <f t="shared" si="24"/>
        <v>JUNIOR*</v>
      </c>
      <c r="H86" s="67" t="str">
        <f t="shared" si="25"/>
        <v>SKC</v>
      </c>
      <c r="I86" s="68">
        <v>7.8287037037037044E-2</v>
      </c>
      <c r="J86" s="31">
        <f t="shared" si="26"/>
        <v>3.587962962963015E-4</v>
      </c>
      <c r="K86" s="31">
        <f t="shared" si="19"/>
        <v>0</v>
      </c>
      <c r="M86" s="31"/>
      <c r="N86" s="31"/>
      <c r="O86" s="31"/>
      <c r="P86" s="150">
        <f t="shared" si="28"/>
        <v>7.8287037037037044E-2</v>
      </c>
      <c r="R86" s="158">
        <v>125</v>
      </c>
      <c r="S86" s="159">
        <v>75</v>
      </c>
      <c r="T86" s="157">
        <f t="shared" si="27"/>
        <v>125</v>
      </c>
      <c r="U86" s="160">
        <v>1</v>
      </c>
      <c r="V86" s="161">
        <v>105</v>
      </c>
      <c r="W86" s="157">
        <f t="shared" si="20"/>
        <v>1</v>
      </c>
    </row>
    <row r="87" spans="1:23" s="69" customFormat="1" ht="13.7" customHeight="1" x14ac:dyDescent="0.25">
      <c r="A87" s="53">
        <v>76</v>
      </c>
      <c r="B87" s="99">
        <v>31</v>
      </c>
      <c r="C87" s="63" t="str">
        <f t="shared" si="18"/>
        <v>CZE19960423</v>
      </c>
      <c r="D87" s="64" t="str">
        <f t="shared" si="21"/>
        <v xml:space="preserve">MORÁVEK Zdeněk </v>
      </c>
      <c r="E87" s="65" t="str">
        <f t="shared" si="22"/>
        <v>ALLTRAINING.CZ</v>
      </c>
      <c r="F87" s="66">
        <f t="shared" si="23"/>
        <v>19314</v>
      </c>
      <c r="G87" s="67" t="str">
        <f t="shared" si="24"/>
        <v>JUNIOR</v>
      </c>
      <c r="H87" s="67" t="str">
        <f t="shared" si="25"/>
        <v>REM</v>
      </c>
      <c r="I87" s="68">
        <v>7.8287037037037044E-2</v>
      </c>
      <c r="J87" s="31">
        <f t="shared" si="26"/>
        <v>3.587962962963015E-4</v>
      </c>
      <c r="K87" s="31">
        <f t="shared" si="19"/>
        <v>0</v>
      </c>
      <c r="M87" s="31"/>
      <c r="N87" s="31"/>
      <c r="O87" s="31"/>
      <c r="P87" s="150">
        <f t="shared" si="28"/>
        <v>7.8287037037037044E-2</v>
      </c>
      <c r="R87" s="158">
        <v>31</v>
      </c>
      <c r="S87" s="159">
        <v>76</v>
      </c>
      <c r="T87" s="157">
        <f t="shared" si="27"/>
        <v>31</v>
      </c>
      <c r="U87" s="160">
        <v>1</v>
      </c>
      <c r="V87" s="161">
        <v>106</v>
      </c>
      <c r="W87" s="157">
        <f t="shared" si="20"/>
        <v>1</v>
      </c>
    </row>
    <row r="88" spans="1:23" s="69" customFormat="1" ht="13.7" customHeight="1" x14ac:dyDescent="0.25">
      <c r="A88" s="53">
        <v>77</v>
      </c>
      <c r="B88" s="99">
        <v>21</v>
      </c>
      <c r="C88" s="63" t="str">
        <f t="shared" si="18"/>
        <v>GER19960322</v>
      </c>
      <c r="D88" s="64" t="str">
        <f t="shared" si="21"/>
        <v>DICKEL Jorge</v>
      </c>
      <c r="E88" s="65" t="str">
        <f t="shared" si="22"/>
        <v>RG BERLIN</v>
      </c>
      <c r="F88" s="66" t="str">
        <f t="shared" si="23"/>
        <v>03.15928.12</v>
      </c>
      <c r="G88" s="67" t="str">
        <f t="shared" si="24"/>
        <v>JUNIOR</v>
      </c>
      <c r="H88" s="67" t="str">
        <f t="shared" si="25"/>
        <v>RGB</v>
      </c>
      <c r="I88" s="68">
        <v>7.8287037037037044E-2</v>
      </c>
      <c r="J88" s="31">
        <f t="shared" si="26"/>
        <v>3.587962962963015E-4</v>
      </c>
      <c r="K88" s="31">
        <f t="shared" si="19"/>
        <v>0</v>
      </c>
      <c r="M88" s="31"/>
      <c r="N88" s="31"/>
      <c r="O88" s="31"/>
      <c r="P88" s="150">
        <f t="shared" si="28"/>
        <v>7.8287037037037044E-2</v>
      </c>
      <c r="R88" s="158">
        <v>21</v>
      </c>
      <c r="S88" s="159">
        <v>77</v>
      </c>
      <c r="T88" s="157">
        <f t="shared" si="27"/>
        <v>21</v>
      </c>
      <c r="U88" s="160">
        <v>1</v>
      </c>
      <c r="V88" s="161">
        <v>107</v>
      </c>
      <c r="W88" s="157">
        <f t="shared" si="20"/>
        <v>1</v>
      </c>
    </row>
    <row r="89" spans="1:23" s="69" customFormat="1" ht="13.7" customHeight="1" x14ac:dyDescent="0.25">
      <c r="A89" s="53">
        <v>78</v>
      </c>
      <c r="B89" s="99">
        <v>152</v>
      </c>
      <c r="C89" s="63" t="str">
        <f t="shared" si="18"/>
        <v>CZE19970417</v>
      </c>
      <c r="D89" s="64" t="str">
        <f t="shared" si="21"/>
        <v>KUBEŠ Martin</v>
      </c>
      <c r="E89" s="65" t="str">
        <f t="shared" si="22"/>
        <v>CK DACOM PHARMA KYJOV</v>
      </c>
      <c r="F89" s="66">
        <f t="shared" si="23"/>
        <v>13287</v>
      </c>
      <c r="G89" s="67" t="str">
        <f t="shared" si="24"/>
        <v>JUNIOR*</v>
      </c>
      <c r="H89" s="67" t="str">
        <f t="shared" si="25"/>
        <v>SKC</v>
      </c>
      <c r="I89" s="68">
        <v>7.8287037037037044E-2</v>
      </c>
      <c r="J89" s="31">
        <f t="shared" si="26"/>
        <v>3.587962962963015E-4</v>
      </c>
      <c r="K89" s="31">
        <f t="shared" si="19"/>
        <v>0</v>
      </c>
      <c r="M89" s="31"/>
      <c r="N89" s="31"/>
      <c r="O89" s="31"/>
      <c r="P89" s="150">
        <f t="shared" si="28"/>
        <v>7.8287037037037044E-2</v>
      </c>
      <c r="R89" s="158">
        <v>152</v>
      </c>
      <c r="S89" s="159">
        <v>78</v>
      </c>
      <c r="T89" s="157">
        <f t="shared" si="27"/>
        <v>152</v>
      </c>
      <c r="U89" s="160">
        <v>1</v>
      </c>
      <c r="V89" s="161">
        <v>111</v>
      </c>
      <c r="W89" s="157">
        <f t="shared" si="20"/>
        <v>1</v>
      </c>
    </row>
    <row r="90" spans="1:23" s="69" customFormat="1" ht="13.7" customHeight="1" x14ac:dyDescent="0.25">
      <c r="A90" s="53">
        <v>79</v>
      </c>
      <c r="B90" s="99">
        <v>142</v>
      </c>
      <c r="C90" s="63" t="str">
        <f t="shared" si="18"/>
        <v>CZE19971022</v>
      </c>
      <c r="D90" s="64" t="str">
        <f t="shared" si="21"/>
        <v xml:space="preserve">KLEVETA Jakub </v>
      </c>
      <c r="E90" s="65" t="str">
        <f t="shared" si="22"/>
        <v xml:space="preserve">MAPEI CYKLO KAŇKOVSKÝ </v>
      </c>
      <c r="F90" s="66">
        <f t="shared" si="23"/>
        <v>10284</v>
      </c>
      <c r="G90" s="67" t="str">
        <f t="shared" si="24"/>
        <v>JUNIOR*</v>
      </c>
      <c r="H90" s="67" t="str">
        <f t="shared" si="25"/>
        <v>MAP</v>
      </c>
      <c r="I90" s="68">
        <v>7.8287037037037044E-2</v>
      </c>
      <c r="J90" s="31">
        <f t="shared" si="26"/>
        <v>3.587962962963015E-4</v>
      </c>
      <c r="K90" s="31">
        <f t="shared" si="19"/>
        <v>0</v>
      </c>
      <c r="M90" s="31"/>
      <c r="N90" s="31"/>
      <c r="O90" s="31"/>
      <c r="P90" s="150">
        <f t="shared" si="28"/>
        <v>7.8287037037037044E-2</v>
      </c>
      <c r="R90" s="158">
        <v>142</v>
      </c>
      <c r="S90" s="159">
        <v>79</v>
      </c>
      <c r="T90" s="157">
        <f t="shared" si="27"/>
        <v>142</v>
      </c>
      <c r="U90" s="160">
        <v>1</v>
      </c>
      <c r="V90" s="161">
        <v>112</v>
      </c>
      <c r="W90" s="157">
        <f t="shared" si="20"/>
        <v>1</v>
      </c>
    </row>
    <row r="91" spans="1:23" s="69" customFormat="1" ht="13.7" customHeight="1" x14ac:dyDescent="0.25">
      <c r="A91" s="53">
        <v>80</v>
      </c>
      <c r="B91" s="99">
        <v>144</v>
      </c>
      <c r="C91" s="63" t="str">
        <f t="shared" si="18"/>
        <v>CZE19961220</v>
      </c>
      <c r="D91" s="64" t="str">
        <f t="shared" si="21"/>
        <v xml:space="preserve">LOVEČEK Adam </v>
      </c>
      <c r="E91" s="65" t="str">
        <f t="shared" si="22"/>
        <v xml:space="preserve">MAPEI CYKLO KAŇKOVSKÝ </v>
      </c>
      <c r="F91" s="66">
        <f t="shared" si="23"/>
        <v>19339</v>
      </c>
      <c r="G91" s="67" t="str">
        <f t="shared" si="24"/>
        <v>JUNIOR</v>
      </c>
      <c r="H91" s="67" t="str">
        <f t="shared" si="25"/>
        <v>MAP</v>
      </c>
      <c r="I91" s="68">
        <v>7.8287037037037044E-2</v>
      </c>
      <c r="J91" s="31">
        <f t="shared" si="26"/>
        <v>3.587962962963015E-4</v>
      </c>
      <c r="K91" s="31">
        <f t="shared" si="19"/>
        <v>0</v>
      </c>
      <c r="M91" s="31"/>
      <c r="N91" s="31"/>
      <c r="O91" s="31"/>
      <c r="P91" s="150">
        <f t="shared" si="28"/>
        <v>7.8287037037037044E-2</v>
      </c>
      <c r="R91" s="158">
        <v>144</v>
      </c>
      <c r="S91" s="159">
        <v>80</v>
      </c>
      <c r="T91" s="157">
        <f t="shared" si="27"/>
        <v>144</v>
      </c>
      <c r="U91" s="160">
        <v>1</v>
      </c>
      <c r="V91" s="161">
        <v>113</v>
      </c>
      <c r="W91" s="157">
        <f t="shared" si="20"/>
        <v>1</v>
      </c>
    </row>
    <row r="92" spans="1:23" s="69" customFormat="1" ht="13.7" customHeight="1" x14ac:dyDescent="0.25">
      <c r="A92" s="53">
        <v>81</v>
      </c>
      <c r="B92" s="99">
        <v>82</v>
      </c>
      <c r="C92" s="63" t="str">
        <f t="shared" si="18"/>
        <v>CZE19960127</v>
      </c>
      <c r="D92" s="64" t="str">
        <f t="shared" si="21"/>
        <v xml:space="preserve">ŠIPOŠ Marek </v>
      </c>
      <c r="E92" s="65" t="str">
        <f t="shared" si="22"/>
        <v xml:space="preserve">TJ KOVO PRAHA </v>
      </c>
      <c r="F92" s="66">
        <f t="shared" si="23"/>
        <v>17984</v>
      </c>
      <c r="G92" s="67" t="str">
        <f t="shared" si="24"/>
        <v>JUNIOR</v>
      </c>
      <c r="H92" s="67" t="str">
        <f t="shared" si="25"/>
        <v>KOV</v>
      </c>
      <c r="I92" s="68">
        <v>7.8287037037037044E-2</v>
      </c>
      <c r="J92" s="31">
        <f t="shared" si="26"/>
        <v>3.587962962963015E-4</v>
      </c>
      <c r="K92" s="31">
        <f t="shared" si="19"/>
        <v>0</v>
      </c>
      <c r="M92" s="31"/>
      <c r="N92" s="31"/>
      <c r="O92" s="31"/>
      <c r="P92" s="150">
        <f t="shared" si="28"/>
        <v>7.8287037037037044E-2</v>
      </c>
      <c r="R92" s="158">
        <v>82</v>
      </c>
      <c r="S92" s="159">
        <v>81</v>
      </c>
      <c r="T92" s="157">
        <f t="shared" si="27"/>
        <v>82</v>
      </c>
      <c r="U92" s="160">
        <v>1</v>
      </c>
      <c r="V92" s="161">
        <v>114</v>
      </c>
      <c r="W92" s="157">
        <f t="shared" si="20"/>
        <v>1</v>
      </c>
    </row>
    <row r="93" spans="1:23" s="69" customFormat="1" ht="13.7" customHeight="1" x14ac:dyDescent="0.25">
      <c r="A93" s="53">
        <v>82</v>
      </c>
      <c r="B93" s="99">
        <v>107</v>
      </c>
      <c r="C93" s="63" t="str">
        <f t="shared" si="18"/>
        <v>CZE19970110</v>
      </c>
      <c r="D93" s="64" t="str">
        <f t="shared" si="21"/>
        <v xml:space="preserve">KŘIKAVA Jakub </v>
      </c>
      <c r="E93" s="65" t="str">
        <f t="shared" si="22"/>
        <v xml:space="preserve">TJ ZČE CYKLISTIKA PLZEŇ </v>
      </c>
      <c r="F93" s="66">
        <f t="shared" si="23"/>
        <v>9167</v>
      </c>
      <c r="G93" s="67" t="str">
        <f t="shared" si="24"/>
        <v>JUNIOR*</v>
      </c>
      <c r="H93" s="67" t="str">
        <f t="shared" si="25"/>
        <v>LOU</v>
      </c>
      <c r="I93" s="68">
        <v>7.8287037037037044E-2</v>
      </c>
      <c r="J93" s="31">
        <f t="shared" si="26"/>
        <v>3.587962962963015E-4</v>
      </c>
      <c r="K93" s="31">
        <f t="shared" si="19"/>
        <v>0</v>
      </c>
      <c r="M93" s="31"/>
      <c r="N93" s="31"/>
      <c r="O93" s="31"/>
      <c r="P93" s="150">
        <f t="shared" si="28"/>
        <v>7.8287037037037044E-2</v>
      </c>
      <c r="R93" s="158">
        <v>107</v>
      </c>
      <c r="S93" s="159">
        <v>82</v>
      </c>
      <c r="T93" s="157">
        <f t="shared" si="27"/>
        <v>107</v>
      </c>
      <c r="U93" s="160">
        <v>1</v>
      </c>
      <c r="V93" s="161">
        <v>115</v>
      </c>
      <c r="W93" s="157">
        <f t="shared" si="20"/>
        <v>1</v>
      </c>
    </row>
    <row r="94" spans="1:23" s="69" customFormat="1" ht="13.7" customHeight="1" x14ac:dyDescent="0.25">
      <c r="A94" s="53">
        <v>83</v>
      </c>
      <c r="B94" s="99">
        <v>145</v>
      </c>
      <c r="C94" s="63" t="str">
        <f t="shared" si="18"/>
        <v>CZE19961105</v>
      </c>
      <c r="D94" s="64" t="str">
        <f t="shared" si="21"/>
        <v xml:space="preserve">MUŽ Jan </v>
      </c>
      <c r="E94" s="65" t="str">
        <f t="shared" si="22"/>
        <v xml:space="preserve">MAPEI CYKLO KAŇKOVSKÝ </v>
      </c>
      <c r="F94" s="66">
        <f t="shared" si="23"/>
        <v>19338</v>
      </c>
      <c r="G94" s="67" t="str">
        <f t="shared" si="24"/>
        <v>JUNIOR</v>
      </c>
      <c r="H94" s="67" t="str">
        <f t="shared" si="25"/>
        <v>MAP</v>
      </c>
      <c r="I94" s="68">
        <v>7.8287037037037044E-2</v>
      </c>
      <c r="J94" s="31">
        <f t="shared" si="26"/>
        <v>3.587962962963015E-4</v>
      </c>
      <c r="K94" s="31">
        <f t="shared" si="19"/>
        <v>0</v>
      </c>
      <c r="M94" s="31"/>
      <c r="N94" s="31"/>
      <c r="O94" s="31"/>
      <c r="P94" s="150">
        <f t="shared" si="28"/>
        <v>7.8287037037037044E-2</v>
      </c>
      <c r="R94" s="158">
        <v>145</v>
      </c>
      <c r="S94" s="159">
        <v>83</v>
      </c>
      <c r="T94" s="157">
        <f t="shared" si="27"/>
        <v>145</v>
      </c>
      <c r="U94" s="160">
        <v>1</v>
      </c>
      <c r="V94" s="161">
        <v>116</v>
      </c>
      <c r="W94" s="157">
        <f t="shared" si="20"/>
        <v>1</v>
      </c>
    </row>
    <row r="95" spans="1:23" s="69" customFormat="1" ht="13.7" customHeight="1" x14ac:dyDescent="0.25">
      <c r="A95" s="53">
        <v>84</v>
      </c>
      <c r="B95" s="99">
        <v>141</v>
      </c>
      <c r="C95" s="63" t="str">
        <f t="shared" si="18"/>
        <v>CZE19960716</v>
      </c>
      <c r="D95" s="64" t="str">
        <f t="shared" si="21"/>
        <v xml:space="preserve">HYNEK Matouš </v>
      </c>
      <c r="E95" s="65" t="str">
        <f t="shared" si="22"/>
        <v xml:space="preserve">MAPEI CYKLO KAŇKOVSKÝ </v>
      </c>
      <c r="F95" s="66">
        <f t="shared" si="23"/>
        <v>7803</v>
      </c>
      <c r="G95" s="67" t="str">
        <f t="shared" si="24"/>
        <v>JUNIOR</v>
      </c>
      <c r="H95" s="67" t="str">
        <f t="shared" si="25"/>
        <v>MAP</v>
      </c>
      <c r="I95" s="68">
        <v>7.8287037037037044E-2</v>
      </c>
      <c r="J95" s="31">
        <f t="shared" si="26"/>
        <v>3.587962962963015E-4</v>
      </c>
      <c r="K95" s="31">
        <f t="shared" si="19"/>
        <v>0</v>
      </c>
      <c r="M95" s="31"/>
      <c r="N95" s="31"/>
      <c r="O95" s="31"/>
      <c r="P95" s="150">
        <f t="shared" si="28"/>
        <v>7.8287037037037044E-2</v>
      </c>
      <c r="R95" s="158">
        <v>141</v>
      </c>
      <c r="S95" s="159">
        <v>84</v>
      </c>
      <c r="T95" s="157">
        <f t="shared" si="27"/>
        <v>141</v>
      </c>
      <c r="U95" s="160">
        <v>1</v>
      </c>
      <c r="V95" s="161">
        <v>117</v>
      </c>
      <c r="W95" s="157">
        <f t="shared" si="20"/>
        <v>1</v>
      </c>
    </row>
    <row r="96" spans="1:23" s="69" customFormat="1" ht="13.7" customHeight="1" x14ac:dyDescent="0.25">
      <c r="A96" s="53">
        <v>85</v>
      </c>
      <c r="B96" s="99">
        <v>81</v>
      </c>
      <c r="C96" s="63" t="str">
        <f t="shared" si="18"/>
        <v>CZE19980303</v>
      </c>
      <c r="D96" s="64" t="str">
        <f t="shared" si="21"/>
        <v xml:space="preserve">KOUDELA Dominik </v>
      </c>
      <c r="E96" s="65" t="str">
        <f t="shared" si="22"/>
        <v xml:space="preserve">TJ KOVO PRAHA </v>
      </c>
      <c r="F96" s="66">
        <f t="shared" si="23"/>
        <v>13590</v>
      </c>
      <c r="G96" s="67" t="str">
        <f t="shared" si="24"/>
        <v>CADET</v>
      </c>
      <c r="H96" s="67" t="str">
        <f t="shared" si="25"/>
        <v>KOV</v>
      </c>
      <c r="I96" s="68">
        <v>7.8287037037037044E-2</v>
      </c>
      <c r="J96" s="31">
        <f t="shared" si="26"/>
        <v>3.587962962963015E-4</v>
      </c>
      <c r="K96" s="31">
        <f t="shared" si="19"/>
        <v>0</v>
      </c>
      <c r="M96" s="31"/>
      <c r="N96" s="31"/>
      <c r="O96" s="31"/>
      <c r="P96" s="150">
        <f t="shared" si="28"/>
        <v>7.8287037037037044E-2</v>
      </c>
      <c r="R96" s="158">
        <v>81</v>
      </c>
      <c r="S96" s="159">
        <v>85</v>
      </c>
      <c r="T96" s="157">
        <f t="shared" si="27"/>
        <v>81</v>
      </c>
      <c r="U96" s="160">
        <v>1</v>
      </c>
      <c r="V96" s="161">
        <v>121</v>
      </c>
      <c r="W96" s="157">
        <f t="shared" si="20"/>
        <v>0</v>
      </c>
    </row>
    <row r="97" spans="1:23" s="69" customFormat="1" ht="13.7" customHeight="1" x14ac:dyDescent="0.25">
      <c r="A97" s="53">
        <v>86</v>
      </c>
      <c r="B97" s="99">
        <v>32</v>
      </c>
      <c r="C97" s="63" t="str">
        <f t="shared" si="18"/>
        <v>CZE19970916</v>
      </c>
      <c r="D97" s="64" t="str">
        <f t="shared" si="21"/>
        <v xml:space="preserve">KUNT Lukáš </v>
      </c>
      <c r="E97" s="65" t="str">
        <f t="shared" si="22"/>
        <v xml:space="preserve">REMERX - MERIDA TEAM KOLÍN </v>
      </c>
      <c r="F97" s="66">
        <f t="shared" si="23"/>
        <v>14658</v>
      </c>
      <c r="G97" s="67" t="str">
        <f t="shared" si="24"/>
        <v>JUNIOR*</v>
      </c>
      <c r="H97" s="67" t="str">
        <f t="shared" si="25"/>
        <v>REM</v>
      </c>
      <c r="I97" s="68">
        <v>7.8287037037037044E-2</v>
      </c>
      <c r="J97" s="31">
        <f t="shared" si="26"/>
        <v>3.587962962963015E-4</v>
      </c>
      <c r="K97" s="31">
        <f t="shared" si="19"/>
        <v>0</v>
      </c>
      <c r="M97" s="31"/>
      <c r="N97" s="31"/>
      <c r="O97" s="31"/>
      <c r="P97" s="150">
        <f t="shared" si="28"/>
        <v>7.8287037037037044E-2</v>
      </c>
      <c r="R97" s="158">
        <v>32</v>
      </c>
      <c r="S97" s="159">
        <v>86</v>
      </c>
      <c r="T97" s="157">
        <f t="shared" si="27"/>
        <v>32</v>
      </c>
      <c r="U97" s="160">
        <v>1</v>
      </c>
      <c r="V97" s="161">
        <v>122</v>
      </c>
      <c r="W97" s="157">
        <f t="shared" si="20"/>
        <v>1</v>
      </c>
    </row>
    <row r="98" spans="1:23" s="69" customFormat="1" ht="13.7" customHeight="1" x14ac:dyDescent="0.25">
      <c r="A98" s="53">
        <v>87</v>
      </c>
      <c r="B98" s="99">
        <v>44</v>
      </c>
      <c r="C98" s="63" t="str">
        <f t="shared" si="18"/>
        <v>CZE19960213</v>
      </c>
      <c r="D98" s="64" t="str">
        <f t="shared" si="21"/>
        <v xml:space="preserve">JUREČKA Jiří </v>
      </c>
      <c r="E98" s="65" t="str">
        <f t="shared" si="22"/>
        <v>KC KOOPERATIVA SG JABLONEC N.N</v>
      </c>
      <c r="F98" s="66">
        <f t="shared" si="23"/>
        <v>5366</v>
      </c>
      <c r="G98" s="67" t="str">
        <f t="shared" si="24"/>
        <v>JUNIOR</v>
      </c>
      <c r="H98" s="67" t="str">
        <f t="shared" si="25"/>
        <v>KOO</v>
      </c>
      <c r="I98" s="68">
        <v>7.8287037037037044E-2</v>
      </c>
      <c r="J98" s="31">
        <f t="shared" si="26"/>
        <v>3.587962962963015E-4</v>
      </c>
      <c r="K98" s="31">
        <f t="shared" si="19"/>
        <v>0</v>
      </c>
      <c r="M98" s="31"/>
      <c r="N98" s="31"/>
      <c r="O98" s="31"/>
      <c r="P98" s="150">
        <f t="shared" si="28"/>
        <v>7.8287037037037044E-2</v>
      </c>
      <c r="R98" s="158">
        <v>44</v>
      </c>
      <c r="S98" s="159">
        <v>87</v>
      </c>
      <c r="T98" s="157">
        <f t="shared" si="27"/>
        <v>44</v>
      </c>
      <c r="U98" s="160">
        <v>1</v>
      </c>
      <c r="V98" s="161">
        <v>123</v>
      </c>
      <c r="W98" s="157">
        <f t="shared" si="20"/>
        <v>1</v>
      </c>
    </row>
    <row r="99" spans="1:23" s="69" customFormat="1" ht="13.7" customHeight="1" x14ac:dyDescent="0.25">
      <c r="A99" s="53">
        <v>88</v>
      </c>
      <c r="B99" s="99">
        <v>75</v>
      </c>
      <c r="C99" s="63" t="str">
        <f t="shared" si="18"/>
        <v>SVK19981117</v>
      </c>
      <c r="D99" s="64" t="str">
        <f t="shared" si="21"/>
        <v>ZEMAN Alex</v>
      </c>
      <c r="E99" s="65" t="str">
        <f t="shared" si="22"/>
        <v>SLÁVIA ŠG TRENČÍN</v>
      </c>
      <c r="F99" s="66">
        <f t="shared" si="23"/>
        <v>6021</v>
      </c>
      <c r="G99" s="67" t="str">
        <f t="shared" si="24"/>
        <v>CADET</v>
      </c>
      <c r="H99" s="67" t="str">
        <f t="shared" si="25"/>
        <v>SLA</v>
      </c>
      <c r="I99" s="68">
        <v>7.8287037037037044E-2</v>
      </c>
      <c r="J99" s="31">
        <f t="shared" si="26"/>
        <v>3.587962962963015E-4</v>
      </c>
      <c r="K99" s="31">
        <f t="shared" si="19"/>
        <v>0</v>
      </c>
      <c r="M99" s="31"/>
      <c r="N99" s="31"/>
      <c r="O99" s="31"/>
      <c r="P99" s="150">
        <f t="shared" si="28"/>
        <v>7.8287037037037044E-2</v>
      </c>
      <c r="R99" s="158">
        <v>75</v>
      </c>
      <c r="S99" s="159">
        <v>88</v>
      </c>
      <c r="T99" s="157">
        <f t="shared" si="27"/>
        <v>75</v>
      </c>
      <c r="U99" s="160">
        <v>1</v>
      </c>
      <c r="V99" s="161">
        <v>124</v>
      </c>
      <c r="W99" s="157">
        <f t="shared" si="20"/>
        <v>1</v>
      </c>
    </row>
    <row r="100" spans="1:23" s="69" customFormat="1" ht="13.7" customHeight="1" x14ac:dyDescent="0.25">
      <c r="A100" s="53">
        <v>89</v>
      </c>
      <c r="B100" s="99">
        <v>10</v>
      </c>
      <c r="C100" s="63" t="str">
        <f t="shared" si="18"/>
        <v>GER19970316</v>
      </c>
      <c r="D100" s="64" t="str">
        <f t="shared" si="21"/>
        <v>WELTZ Niclas</v>
      </c>
      <c r="E100" s="65" t="str">
        <f t="shared" si="22"/>
        <v>RSC TURBINE ERFURT</v>
      </c>
      <c r="F100" s="66" t="str">
        <f t="shared" si="23"/>
        <v>THÜ173103</v>
      </c>
      <c r="G100" s="67" t="str">
        <f t="shared" si="24"/>
        <v>JUNIOR*</v>
      </c>
      <c r="H100" s="67" t="str">
        <f t="shared" si="25"/>
        <v>TUR</v>
      </c>
      <c r="I100" s="68">
        <v>7.8287037037037044E-2</v>
      </c>
      <c r="J100" s="31">
        <f t="shared" si="26"/>
        <v>3.587962962963015E-4</v>
      </c>
      <c r="K100" s="31">
        <f t="shared" si="19"/>
        <v>0</v>
      </c>
      <c r="M100" s="31"/>
      <c r="N100" s="31"/>
      <c r="O100" s="31"/>
      <c r="P100" s="150">
        <f t="shared" si="28"/>
        <v>7.8287037037037044E-2</v>
      </c>
      <c r="R100" s="158">
        <v>10</v>
      </c>
      <c r="S100" s="159">
        <v>89</v>
      </c>
      <c r="T100" s="157">
        <f t="shared" si="27"/>
        <v>10</v>
      </c>
      <c r="U100" s="160">
        <v>1</v>
      </c>
      <c r="V100" s="161">
        <v>125</v>
      </c>
      <c r="W100" s="157">
        <f t="shared" si="20"/>
        <v>1</v>
      </c>
    </row>
    <row r="101" spans="1:23" s="69" customFormat="1" ht="13.7" customHeight="1" x14ac:dyDescent="0.25">
      <c r="A101" s="53">
        <v>90</v>
      </c>
      <c r="B101" s="99">
        <v>172</v>
      </c>
      <c r="C101" s="63" t="str">
        <f t="shared" si="18"/>
        <v>SVK19971030</v>
      </c>
      <c r="D101" s="64" t="str">
        <f t="shared" si="21"/>
        <v>ZIMANY Kristian</v>
      </c>
      <c r="E101" s="65" t="str">
        <f t="shared" si="22"/>
        <v xml:space="preserve">SLOVAK CYCLING FEDERATION </v>
      </c>
      <c r="F101" s="66">
        <f t="shared" si="23"/>
        <v>5765</v>
      </c>
      <c r="G101" s="67" t="str">
        <f t="shared" si="24"/>
        <v>JUNIOR*</v>
      </c>
      <c r="H101" s="67" t="str">
        <f t="shared" si="25"/>
        <v>SVK</v>
      </c>
      <c r="I101" s="68">
        <v>7.8287037037037044E-2</v>
      </c>
      <c r="J101" s="31">
        <f t="shared" si="26"/>
        <v>3.587962962963015E-4</v>
      </c>
      <c r="K101" s="31">
        <f t="shared" si="19"/>
        <v>0</v>
      </c>
      <c r="M101" s="31"/>
      <c r="N101" s="31"/>
      <c r="O101" s="31"/>
      <c r="P101" s="150">
        <f t="shared" si="28"/>
        <v>7.8287037037037044E-2</v>
      </c>
      <c r="R101" s="158">
        <v>172</v>
      </c>
      <c r="S101" s="159">
        <v>90</v>
      </c>
      <c r="T101" s="157">
        <f t="shared" si="27"/>
        <v>172</v>
      </c>
      <c r="U101" s="160">
        <v>1</v>
      </c>
      <c r="V101" s="161">
        <v>131</v>
      </c>
      <c r="W101" s="157">
        <f t="shared" si="20"/>
        <v>1</v>
      </c>
    </row>
    <row r="102" spans="1:23" s="69" customFormat="1" ht="13.7" customHeight="1" x14ac:dyDescent="0.25">
      <c r="A102" s="53">
        <v>91</v>
      </c>
      <c r="B102" s="99">
        <v>35</v>
      </c>
      <c r="C102" s="63" t="str">
        <f t="shared" si="18"/>
        <v>CZE19970320</v>
      </c>
      <c r="D102" s="64" t="str">
        <f t="shared" si="21"/>
        <v xml:space="preserve">KUTIŠ Martin </v>
      </c>
      <c r="E102" s="65" t="str">
        <f t="shared" si="22"/>
        <v>ALLTRAINING.CZ</v>
      </c>
      <c r="F102" s="66">
        <f t="shared" si="23"/>
        <v>19969</v>
      </c>
      <c r="G102" s="67" t="str">
        <f t="shared" si="24"/>
        <v>JUNIOR*</v>
      </c>
      <c r="H102" s="67" t="str">
        <f t="shared" si="25"/>
        <v>REM</v>
      </c>
      <c r="I102" s="68">
        <v>7.8287037037037044E-2</v>
      </c>
      <c r="J102" s="31">
        <f t="shared" si="26"/>
        <v>3.587962962963015E-4</v>
      </c>
      <c r="K102" s="31">
        <f t="shared" si="19"/>
        <v>0</v>
      </c>
      <c r="M102" s="31"/>
      <c r="N102" s="31"/>
      <c r="O102" s="31"/>
      <c r="P102" s="150">
        <f t="shared" si="28"/>
        <v>7.8287037037037044E-2</v>
      </c>
      <c r="R102" s="158">
        <v>35</v>
      </c>
      <c r="S102" s="159">
        <v>91</v>
      </c>
      <c r="T102" s="157">
        <f t="shared" si="27"/>
        <v>35</v>
      </c>
      <c r="U102" s="160">
        <v>1</v>
      </c>
      <c r="V102" s="161">
        <v>132</v>
      </c>
      <c r="W102" s="157">
        <f t="shared" si="20"/>
        <v>1</v>
      </c>
    </row>
    <row r="103" spans="1:23" s="69" customFormat="1" ht="13.7" customHeight="1" x14ac:dyDescent="0.25">
      <c r="A103" s="53">
        <v>92</v>
      </c>
      <c r="B103" s="99">
        <v>183</v>
      </c>
      <c r="C103" s="63" t="str">
        <f t="shared" si="18"/>
        <v>AUT19961121</v>
      </c>
      <c r="D103" s="64" t="str">
        <f t="shared" si="21"/>
        <v>KROGER Klemens</v>
      </c>
      <c r="E103" s="65" t="str">
        <f t="shared" si="22"/>
        <v xml:space="preserve">LRV STEIERMARK </v>
      </c>
      <c r="F103" s="66">
        <f t="shared" si="23"/>
        <v>100828</v>
      </c>
      <c r="G103" s="67" t="str">
        <f t="shared" si="24"/>
        <v>JUNIOR</v>
      </c>
      <c r="H103" s="67" t="str">
        <f t="shared" si="25"/>
        <v>LRV</v>
      </c>
      <c r="I103" s="68">
        <v>7.8287037037037044E-2</v>
      </c>
      <c r="J103" s="31">
        <f t="shared" si="26"/>
        <v>3.587962962963015E-4</v>
      </c>
      <c r="K103" s="31">
        <f t="shared" si="19"/>
        <v>0</v>
      </c>
      <c r="M103" s="31"/>
      <c r="N103" s="31"/>
      <c r="O103" s="31"/>
      <c r="P103" s="150">
        <f t="shared" si="28"/>
        <v>7.8287037037037044E-2</v>
      </c>
      <c r="R103" s="158">
        <v>183</v>
      </c>
      <c r="S103" s="159">
        <v>92</v>
      </c>
      <c r="T103" s="157">
        <f t="shared" si="27"/>
        <v>183</v>
      </c>
      <c r="U103" s="160">
        <v>1</v>
      </c>
      <c r="V103" s="161">
        <v>133</v>
      </c>
      <c r="W103" s="157">
        <f t="shared" si="20"/>
        <v>1</v>
      </c>
    </row>
    <row r="104" spans="1:23" s="69" customFormat="1" ht="13.7" customHeight="1" x14ac:dyDescent="0.25">
      <c r="A104" s="53">
        <v>93</v>
      </c>
      <c r="B104" s="99">
        <v>65</v>
      </c>
      <c r="C104" s="63" t="str">
        <f t="shared" si="18"/>
        <v>POL19970608</v>
      </c>
      <c r="D104" s="64" t="str">
        <f t="shared" si="21"/>
        <v>BISKUP Bartosz</v>
      </c>
      <c r="E104" s="65" t="str">
        <f t="shared" si="22"/>
        <v xml:space="preserve">DSR AUTHOR GÓRNIK WAŁBRZYCH </v>
      </c>
      <c r="F104" s="66" t="str">
        <f t="shared" si="23"/>
        <v>DLS272</v>
      </c>
      <c r="G104" s="67" t="str">
        <f t="shared" si="24"/>
        <v>JUNIOR*</v>
      </c>
      <c r="H104" s="67" t="str">
        <f t="shared" si="25"/>
        <v>GOR</v>
      </c>
      <c r="I104" s="68">
        <v>7.8287037037037044E-2</v>
      </c>
      <c r="J104" s="31">
        <f t="shared" si="26"/>
        <v>3.587962962963015E-4</v>
      </c>
      <c r="K104" s="31">
        <f t="shared" si="19"/>
        <v>0</v>
      </c>
      <c r="M104" s="31"/>
      <c r="N104" s="31"/>
      <c r="O104" s="31"/>
      <c r="P104" s="150">
        <f t="shared" si="28"/>
        <v>7.8287037037037044E-2</v>
      </c>
      <c r="R104" s="158">
        <v>65</v>
      </c>
      <c r="S104" s="159">
        <v>93</v>
      </c>
      <c r="T104" s="157">
        <f t="shared" si="27"/>
        <v>65</v>
      </c>
      <c r="U104" s="160">
        <v>1</v>
      </c>
      <c r="V104" s="161">
        <v>134</v>
      </c>
      <c r="W104" s="157">
        <f t="shared" si="20"/>
        <v>1</v>
      </c>
    </row>
    <row r="105" spans="1:23" s="69" customFormat="1" ht="13.7" customHeight="1" x14ac:dyDescent="0.25">
      <c r="A105" s="53">
        <v>94</v>
      </c>
      <c r="B105" s="99">
        <v>41</v>
      </c>
      <c r="C105" s="63" t="str">
        <f t="shared" si="18"/>
        <v>CZE19960310</v>
      </c>
      <c r="D105" s="64" t="str">
        <f t="shared" si="21"/>
        <v xml:space="preserve">ŠULC Jakub </v>
      </c>
      <c r="E105" s="65" t="str">
        <f t="shared" si="22"/>
        <v xml:space="preserve">KOLA-BBM.CZ </v>
      </c>
      <c r="F105" s="66">
        <f t="shared" si="23"/>
        <v>3358</v>
      </c>
      <c r="G105" s="67" t="str">
        <f t="shared" si="24"/>
        <v>JUNIOR</v>
      </c>
      <c r="H105" s="67" t="str">
        <f t="shared" si="25"/>
        <v>KOO</v>
      </c>
      <c r="I105" s="68">
        <v>7.8287037037037044E-2</v>
      </c>
      <c r="J105" s="31">
        <f t="shared" si="26"/>
        <v>3.587962962963015E-4</v>
      </c>
      <c r="K105" s="31">
        <f t="shared" si="19"/>
        <v>0</v>
      </c>
      <c r="M105" s="31"/>
      <c r="N105" s="31"/>
      <c r="O105" s="31"/>
      <c r="P105" s="150">
        <f t="shared" si="28"/>
        <v>7.8287037037037044E-2</v>
      </c>
      <c r="R105" s="158">
        <v>41</v>
      </c>
      <c r="S105" s="159">
        <v>94</v>
      </c>
      <c r="T105" s="157">
        <f t="shared" si="27"/>
        <v>41</v>
      </c>
      <c r="U105" s="160">
        <v>1</v>
      </c>
      <c r="V105" s="161">
        <v>135</v>
      </c>
      <c r="W105" s="157">
        <f t="shared" si="20"/>
        <v>1</v>
      </c>
    </row>
    <row r="106" spans="1:23" s="69" customFormat="1" ht="13.7" customHeight="1" x14ac:dyDescent="0.25">
      <c r="A106" s="53">
        <v>95</v>
      </c>
      <c r="B106" s="99">
        <v>73</v>
      </c>
      <c r="C106" s="63" t="str">
        <f t="shared" si="18"/>
        <v>SVK19970207</v>
      </c>
      <c r="D106" s="64" t="str">
        <f t="shared" si="21"/>
        <v>GAVENDA Miroslav</v>
      </c>
      <c r="E106" s="65" t="str">
        <f t="shared" si="22"/>
        <v>SLÁVIA ŠG TRENČÍN</v>
      </c>
      <c r="F106" s="66">
        <f t="shared" si="23"/>
        <v>6366</v>
      </c>
      <c r="G106" s="67" t="str">
        <f t="shared" si="24"/>
        <v>JUNIOR*</v>
      </c>
      <c r="H106" s="67" t="str">
        <f t="shared" si="25"/>
        <v>SLA</v>
      </c>
      <c r="I106" s="68">
        <v>7.8287037037037044E-2</v>
      </c>
      <c r="J106" s="31">
        <f t="shared" si="26"/>
        <v>3.587962962963015E-4</v>
      </c>
      <c r="K106" s="31">
        <f t="shared" si="19"/>
        <v>0</v>
      </c>
      <c r="M106" s="31"/>
      <c r="N106" s="31"/>
      <c r="O106" s="31"/>
      <c r="P106" s="150">
        <f t="shared" si="28"/>
        <v>7.8287037037037044E-2</v>
      </c>
      <c r="R106" s="158">
        <v>73</v>
      </c>
      <c r="S106" s="159">
        <v>95</v>
      </c>
      <c r="T106" s="157">
        <f t="shared" si="27"/>
        <v>73</v>
      </c>
      <c r="U106" s="160">
        <v>1</v>
      </c>
      <c r="V106" s="161">
        <v>136</v>
      </c>
      <c r="W106" s="157">
        <f t="shared" si="20"/>
        <v>1</v>
      </c>
    </row>
    <row r="107" spans="1:23" s="69" customFormat="1" ht="13.7" customHeight="1" x14ac:dyDescent="0.25">
      <c r="A107" s="53">
        <v>96</v>
      </c>
      <c r="B107" s="99">
        <v>184</v>
      </c>
      <c r="C107" s="63" t="str">
        <f t="shared" si="18"/>
        <v>AUT19961024</v>
      </c>
      <c r="D107" s="64" t="str">
        <f t="shared" si="21"/>
        <v>STATTMANN Lukas</v>
      </c>
      <c r="E107" s="65" t="str">
        <f t="shared" si="22"/>
        <v xml:space="preserve">LRV STEIERMARK </v>
      </c>
      <c r="F107" s="66">
        <f t="shared" si="23"/>
        <v>100830</v>
      </c>
      <c r="G107" s="67" t="str">
        <f t="shared" si="24"/>
        <v>JUNIOR</v>
      </c>
      <c r="H107" s="67" t="str">
        <f t="shared" si="25"/>
        <v>LRV</v>
      </c>
      <c r="I107" s="68">
        <v>7.8287037037037044E-2</v>
      </c>
      <c r="J107" s="31">
        <f t="shared" si="26"/>
        <v>3.587962962963015E-4</v>
      </c>
      <c r="K107" s="31">
        <f t="shared" si="19"/>
        <v>0</v>
      </c>
      <c r="M107" s="31"/>
      <c r="N107" s="31"/>
      <c r="O107" s="31"/>
      <c r="P107" s="150">
        <f t="shared" si="28"/>
        <v>7.8287037037037044E-2</v>
      </c>
      <c r="R107" s="158">
        <v>184</v>
      </c>
      <c r="S107" s="159">
        <v>96</v>
      </c>
      <c r="T107" s="157">
        <f t="shared" si="27"/>
        <v>184</v>
      </c>
      <c r="U107" s="160">
        <v>1</v>
      </c>
      <c r="V107" s="161">
        <v>137</v>
      </c>
      <c r="W107" s="157">
        <f t="shared" si="20"/>
        <v>1</v>
      </c>
    </row>
    <row r="108" spans="1:23" s="69" customFormat="1" ht="13.7" customHeight="1" x14ac:dyDescent="0.25">
      <c r="A108" s="53">
        <v>97</v>
      </c>
      <c r="B108" s="99">
        <v>95</v>
      </c>
      <c r="C108" s="63" t="str">
        <f t="shared" si="18"/>
        <v>CZE19970813</v>
      </c>
      <c r="D108" s="64" t="str">
        <f t="shared" si="21"/>
        <v xml:space="preserve">LAFUNTÁL Robert </v>
      </c>
      <c r="E108" s="65" t="str">
        <f t="shared" si="22"/>
        <v xml:space="preserve">TJ FAVORIT BRNO </v>
      </c>
      <c r="F108" s="66">
        <f t="shared" si="23"/>
        <v>13204</v>
      </c>
      <c r="G108" s="67" t="str">
        <f t="shared" si="24"/>
        <v>JUNIOR*</v>
      </c>
      <c r="H108" s="67" t="str">
        <f t="shared" si="25"/>
        <v>FAV</v>
      </c>
      <c r="I108" s="68">
        <v>7.8287037037037044E-2</v>
      </c>
      <c r="J108" s="31">
        <f t="shared" si="26"/>
        <v>3.587962962963015E-4</v>
      </c>
      <c r="K108" s="31">
        <f t="shared" ref="K108:K141" si="29">M108+N108</f>
        <v>0</v>
      </c>
      <c r="M108" s="31"/>
      <c r="N108" s="31"/>
      <c r="O108" s="31"/>
      <c r="P108" s="150">
        <f t="shared" si="28"/>
        <v>7.8287037037037044E-2</v>
      </c>
      <c r="R108" s="158">
        <v>95</v>
      </c>
      <c r="S108" s="159">
        <v>97</v>
      </c>
      <c r="T108" s="157">
        <f t="shared" si="27"/>
        <v>95</v>
      </c>
      <c r="U108" s="160">
        <v>1</v>
      </c>
      <c r="V108" s="161">
        <v>138</v>
      </c>
      <c r="W108" s="157">
        <f t="shared" ref="W108:W139" si="30">SUMIF(T:T,V:V,U:U)</f>
        <v>0</v>
      </c>
    </row>
    <row r="109" spans="1:23" s="69" customFormat="1" ht="13.7" customHeight="1" x14ac:dyDescent="0.25">
      <c r="A109" s="53">
        <v>98</v>
      </c>
      <c r="B109" s="99">
        <v>13</v>
      </c>
      <c r="C109" s="63" t="str">
        <f t="shared" si="18"/>
        <v>GER19970125</v>
      </c>
      <c r="D109" s="64" t="str">
        <f t="shared" si="21"/>
        <v>FRANZ Toni</v>
      </c>
      <c r="E109" s="65" t="str">
        <f t="shared" si="22"/>
        <v>JUNIOREN SCHWALBE TEAM SACHSEN</v>
      </c>
      <c r="F109" s="66" t="str">
        <f t="shared" si="23"/>
        <v xml:space="preserve">SAC 134961 </v>
      </c>
      <c r="G109" s="67" t="str">
        <f t="shared" si="24"/>
        <v>JUNIOR*</v>
      </c>
      <c r="H109" s="67" t="str">
        <f t="shared" si="25"/>
        <v>SCW</v>
      </c>
      <c r="I109" s="68">
        <v>7.8287037037037044E-2</v>
      </c>
      <c r="J109" s="31">
        <f t="shared" si="26"/>
        <v>3.587962962963015E-4</v>
      </c>
      <c r="K109" s="31">
        <f t="shared" si="29"/>
        <v>0</v>
      </c>
      <c r="M109" s="31"/>
      <c r="N109" s="31"/>
      <c r="O109" s="31"/>
      <c r="P109" s="150">
        <f t="shared" si="28"/>
        <v>7.8287037037037044E-2</v>
      </c>
      <c r="R109" s="158">
        <v>13</v>
      </c>
      <c r="S109" s="159">
        <v>98</v>
      </c>
      <c r="T109" s="157">
        <f t="shared" si="27"/>
        <v>13</v>
      </c>
      <c r="U109" s="160">
        <v>1</v>
      </c>
      <c r="V109" s="161">
        <v>141</v>
      </c>
      <c r="W109" s="157">
        <f t="shared" si="30"/>
        <v>1</v>
      </c>
    </row>
    <row r="110" spans="1:23" s="69" customFormat="1" ht="13.7" customHeight="1" x14ac:dyDescent="0.25">
      <c r="A110" s="53">
        <v>99</v>
      </c>
      <c r="B110" s="99">
        <v>50</v>
      </c>
      <c r="C110" s="63" t="str">
        <f t="shared" si="18"/>
        <v>CZE19960203</v>
      </c>
      <c r="D110" s="64" t="str">
        <f t="shared" si="21"/>
        <v xml:space="preserve">VRÁNA Dominik </v>
      </c>
      <c r="E110" s="65" t="str">
        <f t="shared" si="22"/>
        <v>KC KOOPERATIVA SG JABLONEC N.N</v>
      </c>
      <c r="F110" s="66">
        <f t="shared" si="23"/>
        <v>8884</v>
      </c>
      <c r="G110" s="67" t="str">
        <f t="shared" si="24"/>
        <v>JUNIOR</v>
      </c>
      <c r="H110" s="67" t="str">
        <f t="shared" si="25"/>
        <v>KOO</v>
      </c>
      <c r="I110" s="68">
        <v>7.8287037037037044E-2</v>
      </c>
      <c r="J110" s="31">
        <f t="shared" si="26"/>
        <v>3.587962962963015E-4</v>
      </c>
      <c r="K110" s="31">
        <f t="shared" si="29"/>
        <v>0</v>
      </c>
      <c r="M110" s="31"/>
      <c r="N110" s="31"/>
      <c r="O110" s="31"/>
      <c r="P110" s="150">
        <f t="shared" si="28"/>
        <v>7.8287037037037044E-2</v>
      </c>
      <c r="R110" s="158">
        <v>50</v>
      </c>
      <c r="S110" s="159">
        <v>99</v>
      </c>
      <c r="T110" s="157">
        <f t="shared" si="27"/>
        <v>50</v>
      </c>
      <c r="U110" s="160">
        <v>1</v>
      </c>
      <c r="V110" s="161">
        <v>142</v>
      </c>
      <c r="W110" s="157">
        <f t="shared" si="30"/>
        <v>1</v>
      </c>
    </row>
    <row r="111" spans="1:23" s="69" customFormat="1" ht="13.7" customHeight="1" x14ac:dyDescent="0.25">
      <c r="A111" s="53">
        <v>100</v>
      </c>
      <c r="B111" s="99">
        <v>15</v>
      </c>
      <c r="C111" s="63" t="str">
        <f t="shared" si="18"/>
        <v>GER19980114</v>
      </c>
      <c r="D111" s="64" t="str">
        <f t="shared" si="21"/>
        <v>BONNES Julius</v>
      </c>
      <c r="E111" s="65" t="str">
        <f t="shared" si="22"/>
        <v>JUNIOREN SCHWALBE TEAM SACHSEN</v>
      </c>
      <c r="F111" s="66" t="str">
        <f t="shared" si="23"/>
        <v>SAC 142150</v>
      </c>
      <c r="G111" s="67" t="str">
        <f t="shared" si="24"/>
        <v>CADET</v>
      </c>
      <c r="H111" s="67" t="str">
        <f t="shared" si="25"/>
        <v>SCW</v>
      </c>
      <c r="I111" s="68">
        <v>7.8321759259259258E-2</v>
      </c>
      <c r="J111" s="31">
        <f t="shared" si="26"/>
        <v>3.9351851851851527E-4</v>
      </c>
      <c r="K111" s="31">
        <f t="shared" si="29"/>
        <v>0</v>
      </c>
      <c r="M111" s="31"/>
      <c r="N111" s="31"/>
      <c r="O111" s="31"/>
      <c r="P111" s="150">
        <f t="shared" si="28"/>
        <v>7.8321759259259258E-2</v>
      </c>
      <c r="R111" s="158">
        <v>15</v>
      </c>
      <c r="S111" s="159">
        <v>100</v>
      </c>
      <c r="T111" s="157">
        <f t="shared" si="27"/>
        <v>15</v>
      </c>
      <c r="U111" s="160">
        <v>1</v>
      </c>
      <c r="V111" s="161">
        <v>143</v>
      </c>
      <c r="W111" s="157">
        <f t="shared" si="30"/>
        <v>1</v>
      </c>
    </row>
    <row r="112" spans="1:23" s="69" customFormat="1" ht="13.7" customHeight="1" x14ac:dyDescent="0.25">
      <c r="A112" s="53">
        <v>101</v>
      </c>
      <c r="B112" s="99">
        <v>16</v>
      </c>
      <c r="C112" s="63" t="str">
        <f t="shared" si="18"/>
        <v>GER19981217</v>
      </c>
      <c r="D112" s="64" t="str">
        <f t="shared" si="21"/>
        <v>ZÖTTLER Jacob</v>
      </c>
      <c r="E112" s="65" t="str">
        <f t="shared" si="22"/>
        <v>JUNIOREN SCHWALBE TEAM SACHSEN</v>
      </c>
      <c r="F112" s="66" t="str">
        <f t="shared" si="23"/>
        <v>SAC 135443</v>
      </c>
      <c r="G112" s="67" t="str">
        <f t="shared" si="24"/>
        <v>CADET</v>
      </c>
      <c r="H112" s="67" t="str">
        <f t="shared" si="25"/>
        <v>SCW</v>
      </c>
      <c r="I112" s="68">
        <v>7.8321759259259258E-2</v>
      </c>
      <c r="J112" s="31">
        <f t="shared" si="26"/>
        <v>3.9351851851851527E-4</v>
      </c>
      <c r="K112" s="31">
        <f t="shared" si="29"/>
        <v>0</v>
      </c>
      <c r="M112" s="31"/>
      <c r="N112" s="31"/>
      <c r="O112" s="31"/>
      <c r="P112" s="150">
        <f t="shared" si="28"/>
        <v>7.8321759259259258E-2</v>
      </c>
      <c r="R112" s="158">
        <v>16</v>
      </c>
      <c r="S112" s="159">
        <v>101</v>
      </c>
      <c r="T112" s="157">
        <f t="shared" si="27"/>
        <v>16</v>
      </c>
      <c r="U112" s="160">
        <v>1</v>
      </c>
      <c r="V112" s="161">
        <v>144</v>
      </c>
      <c r="W112" s="157">
        <f t="shared" si="30"/>
        <v>1</v>
      </c>
    </row>
    <row r="113" spans="1:23" s="69" customFormat="1" ht="13.7" customHeight="1" x14ac:dyDescent="0.25">
      <c r="A113" s="53">
        <v>102</v>
      </c>
      <c r="B113" s="99">
        <v>43</v>
      </c>
      <c r="C113" s="63" t="str">
        <f t="shared" si="18"/>
        <v>CZE19990209</v>
      </c>
      <c r="D113" s="64" t="str">
        <f t="shared" si="21"/>
        <v xml:space="preserve">HONZÁK David </v>
      </c>
      <c r="E113" s="65" t="str">
        <f t="shared" si="22"/>
        <v>KC KOOPERATIVA SG JABLONEC N.N</v>
      </c>
      <c r="F113" s="66">
        <f t="shared" si="23"/>
        <v>14334</v>
      </c>
      <c r="G113" s="67" t="str">
        <f t="shared" si="24"/>
        <v>CADET*</v>
      </c>
      <c r="H113" s="67" t="str">
        <f t="shared" si="25"/>
        <v>KOO</v>
      </c>
      <c r="I113" s="68">
        <v>7.8321759259259258E-2</v>
      </c>
      <c r="J113" s="31">
        <f t="shared" si="26"/>
        <v>3.9351851851851527E-4</v>
      </c>
      <c r="K113" s="31">
        <f t="shared" si="29"/>
        <v>0</v>
      </c>
      <c r="M113" s="31"/>
      <c r="N113" s="31"/>
      <c r="O113" s="31"/>
      <c r="P113" s="150">
        <f t="shared" si="28"/>
        <v>7.8321759259259258E-2</v>
      </c>
      <c r="R113" s="158">
        <v>43</v>
      </c>
      <c r="S113" s="159">
        <v>102</v>
      </c>
      <c r="T113" s="157">
        <f t="shared" si="27"/>
        <v>43</v>
      </c>
      <c r="U113" s="160">
        <v>1</v>
      </c>
      <c r="V113" s="161">
        <v>145</v>
      </c>
      <c r="W113" s="157">
        <f t="shared" si="30"/>
        <v>1</v>
      </c>
    </row>
    <row r="114" spans="1:23" s="69" customFormat="1" ht="13.7" customHeight="1" x14ac:dyDescent="0.25">
      <c r="A114" s="53">
        <v>103</v>
      </c>
      <c r="B114" s="99">
        <v>71</v>
      </c>
      <c r="C114" s="63" t="str">
        <f t="shared" si="18"/>
        <v>SVK19970730</v>
      </c>
      <c r="D114" s="64" t="str">
        <f t="shared" si="21"/>
        <v>MEŇUŠ Tomáš</v>
      </c>
      <c r="E114" s="65" t="str">
        <f t="shared" si="22"/>
        <v>CYCLING ACADEMY BRATISLAVA</v>
      </c>
      <c r="F114" s="66">
        <f t="shared" si="23"/>
        <v>6668</v>
      </c>
      <c r="G114" s="67" t="str">
        <f t="shared" si="24"/>
        <v>JUNIOR*</v>
      </c>
      <c r="H114" s="67" t="str">
        <f t="shared" si="25"/>
        <v>SLA</v>
      </c>
      <c r="I114" s="68">
        <v>7.8321759259259258E-2</v>
      </c>
      <c r="J114" s="31">
        <f t="shared" si="26"/>
        <v>3.9351851851851527E-4</v>
      </c>
      <c r="K114" s="31">
        <f t="shared" si="29"/>
        <v>0</v>
      </c>
      <c r="M114" s="31"/>
      <c r="N114" s="31"/>
      <c r="O114" s="31"/>
      <c r="P114" s="150">
        <f t="shared" si="28"/>
        <v>7.8321759259259258E-2</v>
      </c>
      <c r="R114" s="158">
        <v>71</v>
      </c>
      <c r="S114" s="159">
        <v>103</v>
      </c>
      <c r="T114" s="157">
        <f t="shared" si="27"/>
        <v>71</v>
      </c>
      <c r="U114" s="160">
        <v>1</v>
      </c>
      <c r="V114" s="161">
        <v>146</v>
      </c>
      <c r="W114" s="157">
        <f t="shared" si="30"/>
        <v>1</v>
      </c>
    </row>
    <row r="115" spans="1:23" s="69" customFormat="1" ht="13.7" customHeight="1" x14ac:dyDescent="0.25">
      <c r="A115" s="53">
        <v>104</v>
      </c>
      <c r="B115" s="99">
        <v>153</v>
      </c>
      <c r="C115" s="63" t="str">
        <f t="shared" si="18"/>
        <v>CZE19960707</v>
      </c>
      <c r="D115" s="64" t="str">
        <f t="shared" si="21"/>
        <v>SAXA Lukáš</v>
      </c>
      <c r="E115" s="65" t="str">
        <f t="shared" si="22"/>
        <v>STEVENS ZNOJMO</v>
      </c>
      <c r="F115" s="66">
        <f t="shared" si="23"/>
        <v>20125</v>
      </c>
      <c r="G115" s="67" t="str">
        <f t="shared" si="24"/>
        <v>JUNIOR</v>
      </c>
      <c r="H115" s="67" t="str">
        <f t="shared" si="25"/>
        <v>SKC</v>
      </c>
      <c r="I115" s="68">
        <v>7.8321759259259258E-2</v>
      </c>
      <c r="J115" s="31">
        <f t="shared" si="26"/>
        <v>3.9351851851851527E-4</v>
      </c>
      <c r="K115" s="31">
        <f t="shared" si="29"/>
        <v>0</v>
      </c>
      <c r="M115" s="31"/>
      <c r="N115" s="31"/>
      <c r="O115" s="31"/>
      <c r="P115" s="150">
        <f t="shared" si="28"/>
        <v>7.8321759259259258E-2</v>
      </c>
      <c r="R115" s="158">
        <v>153</v>
      </c>
      <c r="S115" s="159">
        <v>104</v>
      </c>
      <c r="T115" s="157">
        <f t="shared" si="27"/>
        <v>153</v>
      </c>
      <c r="U115" s="160">
        <v>1</v>
      </c>
      <c r="V115" s="161">
        <v>147</v>
      </c>
      <c r="W115" s="157">
        <f t="shared" si="30"/>
        <v>1</v>
      </c>
    </row>
    <row r="116" spans="1:23" s="69" customFormat="1" ht="13.7" customHeight="1" x14ac:dyDescent="0.25">
      <c r="A116" s="53">
        <v>105</v>
      </c>
      <c r="B116" s="99">
        <v>9</v>
      </c>
      <c r="C116" s="63" t="str">
        <f t="shared" si="18"/>
        <v>GER19980730</v>
      </c>
      <c r="D116" s="64" t="str">
        <f t="shared" si="21"/>
        <v>PLUNTKE Moritz</v>
      </c>
      <c r="E116" s="65" t="str">
        <f t="shared" si="22"/>
        <v>RSC TURBINE ERFURT</v>
      </c>
      <c r="F116" s="66" t="str">
        <f t="shared" si="23"/>
        <v>THÜ173593</v>
      </c>
      <c r="G116" s="67" t="str">
        <f t="shared" si="24"/>
        <v>CADET</v>
      </c>
      <c r="H116" s="67" t="str">
        <f t="shared" si="25"/>
        <v>TUR</v>
      </c>
      <c r="I116" s="68">
        <v>7.8680555555555545E-2</v>
      </c>
      <c r="J116" s="31">
        <f t="shared" si="26"/>
        <v>7.5231481481480289E-4</v>
      </c>
      <c r="K116" s="31">
        <f t="shared" si="29"/>
        <v>0</v>
      </c>
      <c r="M116" s="31"/>
      <c r="N116" s="31"/>
      <c r="O116" s="31"/>
      <c r="P116" s="150">
        <f t="shared" si="28"/>
        <v>7.8680555555555545E-2</v>
      </c>
      <c r="R116" s="158">
        <v>9</v>
      </c>
      <c r="S116" s="159">
        <v>105</v>
      </c>
      <c r="T116" s="157">
        <f t="shared" si="27"/>
        <v>9</v>
      </c>
      <c r="U116" s="160">
        <v>1</v>
      </c>
      <c r="V116" s="161">
        <v>148</v>
      </c>
      <c r="W116" s="157">
        <f t="shared" si="30"/>
        <v>1</v>
      </c>
    </row>
    <row r="117" spans="1:23" s="69" customFormat="1" ht="13.7" customHeight="1" x14ac:dyDescent="0.25">
      <c r="A117" s="53">
        <v>106</v>
      </c>
      <c r="B117" s="99">
        <v>122</v>
      </c>
      <c r="C117" s="63" t="str">
        <f t="shared" si="18"/>
        <v>CZE19971201</v>
      </c>
      <c r="D117" s="64" t="str">
        <f t="shared" si="21"/>
        <v xml:space="preserve">CHYTIL Daniel </v>
      </c>
      <c r="E117" s="65" t="str">
        <f t="shared" si="22"/>
        <v xml:space="preserve">SKC TUFO PROSTĚJOV </v>
      </c>
      <c r="F117" s="66">
        <f t="shared" si="23"/>
        <v>13150</v>
      </c>
      <c r="G117" s="67" t="str">
        <f t="shared" si="24"/>
        <v>JUNIOR*</v>
      </c>
      <c r="H117" s="67" t="str">
        <f t="shared" si="25"/>
        <v>SKC</v>
      </c>
      <c r="I117" s="68">
        <v>7.8831018518518522E-2</v>
      </c>
      <c r="J117" s="31">
        <f t="shared" si="26"/>
        <v>9.0277777777778012E-4</v>
      </c>
      <c r="K117" s="31">
        <f t="shared" si="29"/>
        <v>0</v>
      </c>
      <c r="M117" s="31"/>
      <c r="N117" s="31"/>
      <c r="O117" s="31"/>
      <c r="P117" s="150">
        <f t="shared" si="28"/>
        <v>7.8831018518518522E-2</v>
      </c>
      <c r="R117" s="158">
        <v>122</v>
      </c>
      <c r="S117" s="159">
        <v>106</v>
      </c>
      <c r="T117" s="157">
        <f t="shared" si="27"/>
        <v>122</v>
      </c>
      <c r="U117" s="160">
        <v>1</v>
      </c>
      <c r="V117" s="161">
        <v>149</v>
      </c>
      <c r="W117" s="157">
        <f t="shared" si="30"/>
        <v>1</v>
      </c>
    </row>
    <row r="118" spans="1:23" s="69" customFormat="1" ht="13.7" customHeight="1" x14ac:dyDescent="0.25">
      <c r="A118" s="53">
        <v>107</v>
      </c>
      <c r="B118" s="221">
        <v>59</v>
      </c>
      <c r="C118" s="63" t="str">
        <f t="shared" si="18"/>
        <v>CZE19960727</v>
      </c>
      <c r="D118" s="64" t="str">
        <f t="shared" si="21"/>
        <v xml:space="preserve">PREJDA Václav </v>
      </c>
      <c r="E118" s="65" t="str">
        <f t="shared" si="22"/>
        <v xml:space="preserve">SK JIŘÍ TEAM OSTRAVA </v>
      </c>
      <c r="F118" s="66">
        <f t="shared" si="23"/>
        <v>16035</v>
      </c>
      <c r="G118" s="67" t="str">
        <f t="shared" si="24"/>
        <v>JUNIOR</v>
      </c>
      <c r="H118" s="67" t="str">
        <f t="shared" si="25"/>
        <v>GLI</v>
      </c>
      <c r="I118" s="68">
        <v>7.8287037037037044E-2</v>
      </c>
      <c r="J118" s="31">
        <f t="shared" si="26"/>
        <v>3.587962962963015E-4</v>
      </c>
      <c r="K118" s="31">
        <f t="shared" si="29"/>
        <v>0</v>
      </c>
      <c r="M118" s="31"/>
      <c r="N118" s="31"/>
      <c r="O118" s="31"/>
      <c r="P118" s="150">
        <f t="shared" si="28"/>
        <v>7.8287037037037044E-2</v>
      </c>
      <c r="R118" s="158">
        <v>59</v>
      </c>
      <c r="S118" s="159">
        <v>107</v>
      </c>
      <c r="T118" s="157">
        <f t="shared" si="27"/>
        <v>59</v>
      </c>
      <c r="U118" s="160">
        <v>1</v>
      </c>
      <c r="V118" s="161">
        <v>150</v>
      </c>
      <c r="W118" s="157">
        <f t="shared" si="30"/>
        <v>1</v>
      </c>
    </row>
    <row r="119" spans="1:23" s="69" customFormat="1" ht="13.7" customHeight="1" x14ac:dyDescent="0.25">
      <c r="A119" s="53">
        <v>108</v>
      </c>
      <c r="B119" s="221">
        <v>131</v>
      </c>
      <c r="C119" s="63" t="str">
        <f t="shared" si="18"/>
        <v>AUT19961107</v>
      </c>
      <c r="D119" s="64" t="str">
        <f t="shared" si="21"/>
        <v>FÜHRER Alexander</v>
      </c>
      <c r="E119" s="65" t="str">
        <f t="shared" si="22"/>
        <v>RLM WIEN</v>
      </c>
      <c r="F119" s="66">
        <f t="shared" si="23"/>
        <v>100020</v>
      </c>
      <c r="G119" s="67" t="str">
        <f t="shared" si="24"/>
        <v>JUNIOR</v>
      </c>
      <c r="H119" s="67" t="str">
        <f t="shared" si="25"/>
        <v>RCA</v>
      </c>
      <c r="I119" s="68">
        <v>7.8287037037037044E-2</v>
      </c>
      <c r="J119" s="31">
        <f t="shared" si="26"/>
        <v>3.587962962963015E-4</v>
      </c>
      <c r="K119" s="31">
        <f t="shared" si="29"/>
        <v>0</v>
      </c>
      <c r="M119" s="31"/>
      <c r="N119" s="31"/>
      <c r="O119" s="31"/>
      <c r="P119" s="150">
        <f t="shared" si="28"/>
        <v>7.8287037037037044E-2</v>
      </c>
      <c r="R119" s="158">
        <v>131</v>
      </c>
      <c r="S119" s="159">
        <v>108</v>
      </c>
      <c r="T119" s="157">
        <f t="shared" si="27"/>
        <v>131</v>
      </c>
      <c r="U119" s="160">
        <v>1</v>
      </c>
      <c r="V119" s="161">
        <v>151</v>
      </c>
      <c r="W119" s="157">
        <f t="shared" si="30"/>
        <v>1</v>
      </c>
    </row>
    <row r="120" spans="1:23" s="69" customFormat="1" ht="13.7" customHeight="1" x14ac:dyDescent="0.25">
      <c r="A120" s="53">
        <v>109</v>
      </c>
      <c r="B120" s="221">
        <v>47</v>
      </c>
      <c r="C120" s="63" t="str">
        <f t="shared" si="18"/>
        <v>CZE19960509</v>
      </c>
      <c r="D120" s="64" t="str">
        <f t="shared" si="21"/>
        <v xml:space="preserve">PRENĚK Ondřej </v>
      </c>
      <c r="E120" s="65" t="str">
        <f t="shared" si="22"/>
        <v>KC KOOPERATIVA SG JABLONEC N.N</v>
      </c>
      <c r="F120" s="66">
        <f t="shared" si="23"/>
        <v>19279</v>
      </c>
      <c r="G120" s="67" t="str">
        <f t="shared" si="24"/>
        <v>JUNIOR</v>
      </c>
      <c r="H120" s="67" t="str">
        <f t="shared" si="25"/>
        <v>KOO</v>
      </c>
      <c r="I120" s="68">
        <v>7.9548611111111112E-2</v>
      </c>
      <c r="J120" s="31">
        <f t="shared" si="26"/>
        <v>1.6203703703703692E-3</v>
      </c>
      <c r="K120" s="31">
        <f t="shared" si="29"/>
        <v>0</v>
      </c>
      <c r="M120" s="31"/>
      <c r="N120" s="31"/>
      <c r="O120" s="31"/>
      <c r="P120" s="150">
        <f t="shared" si="28"/>
        <v>7.9548611111111112E-2</v>
      </c>
      <c r="R120" s="158">
        <v>47</v>
      </c>
      <c r="S120" s="159">
        <v>109</v>
      </c>
      <c r="T120" s="157">
        <f t="shared" si="27"/>
        <v>47</v>
      </c>
      <c r="U120" s="160">
        <v>1</v>
      </c>
      <c r="V120" s="161">
        <v>152</v>
      </c>
      <c r="W120" s="157">
        <f t="shared" si="30"/>
        <v>1</v>
      </c>
    </row>
    <row r="121" spans="1:23" s="69" customFormat="1" ht="13.7" customHeight="1" x14ac:dyDescent="0.25">
      <c r="A121" s="53">
        <v>110</v>
      </c>
      <c r="B121" s="221">
        <v>186</v>
      </c>
      <c r="C121" s="63" t="str">
        <f t="shared" si="18"/>
        <v>AUT19970406</v>
      </c>
      <c r="D121" s="64" t="str">
        <f t="shared" si="21"/>
        <v>WINTER Stefan</v>
      </c>
      <c r="E121" s="65" t="str">
        <f t="shared" si="22"/>
        <v xml:space="preserve">LRV STEIERMARK </v>
      </c>
      <c r="F121" s="66">
        <f t="shared" si="23"/>
        <v>100838</v>
      </c>
      <c r="G121" s="67" t="str">
        <f t="shared" si="24"/>
        <v>JUNIOR*</v>
      </c>
      <c r="H121" s="67" t="str">
        <f t="shared" si="25"/>
        <v>LRV</v>
      </c>
      <c r="I121" s="68">
        <v>8.3749999999999991E-2</v>
      </c>
      <c r="J121" s="31">
        <f t="shared" si="26"/>
        <v>5.8217592592592488E-3</v>
      </c>
      <c r="K121" s="31">
        <f t="shared" si="29"/>
        <v>0</v>
      </c>
      <c r="M121" s="31"/>
      <c r="N121" s="31"/>
      <c r="O121" s="31"/>
      <c r="P121" s="150">
        <f t="shared" si="28"/>
        <v>8.3749999999999991E-2</v>
      </c>
      <c r="R121" s="158">
        <v>186</v>
      </c>
      <c r="S121" s="159">
        <v>110</v>
      </c>
      <c r="T121" s="157">
        <f t="shared" si="27"/>
        <v>186</v>
      </c>
      <c r="U121" s="160">
        <v>1</v>
      </c>
      <c r="V121" s="161">
        <v>153</v>
      </c>
      <c r="W121" s="157">
        <f t="shared" si="30"/>
        <v>1</v>
      </c>
    </row>
    <row r="122" spans="1:23" s="69" customFormat="1" ht="13.7" customHeight="1" x14ac:dyDescent="0.25">
      <c r="A122" s="53">
        <v>111</v>
      </c>
      <c r="B122" s="221">
        <v>135</v>
      </c>
      <c r="C122" s="63" t="str">
        <f t="shared" si="18"/>
        <v>AUT19970502</v>
      </c>
      <c r="D122" s="64" t="str">
        <f t="shared" si="21"/>
        <v>RECKENDORFER Lukas</v>
      </c>
      <c r="E122" s="65" t="str">
        <f t="shared" si="22"/>
        <v>RC ARBÖ WELS GOURMETFEIN</v>
      </c>
      <c r="F122" s="66">
        <f t="shared" si="23"/>
        <v>100756</v>
      </c>
      <c r="G122" s="67" t="str">
        <f t="shared" si="24"/>
        <v>JUNIOR*</v>
      </c>
      <c r="H122" s="67" t="str">
        <f t="shared" si="25"/>
        <v>RCA</v>
      </c>
      <c r="I122" s="68">
        <v>8.3749999999999991E-2</v>
      </c>
      <c r="J122" s="31">
        <f t="shared" si="26"/>
        <v>5.8217592592592488E-3</v>
      </c>
      <c r="K122" s="31">
        <f t="shared" si="29"/>
        <v>0</v>
      </c>
      <c r="M122" s="31"/>
      <c r="N122" s="31"/>
      <c r="O122" s="31"/>
      <c r="P122" s="150">
        <f t="shared" si="28"/>
        <v>8.3749999999999991E-2</v>
      </c>
      <c r="R122" s="158">
        <v>135</v>
      </c>
      <c r="S122" s="159">
        <v>111</v>
      </c>
      <c r="T122" s="157">
        <f t="shared" si="27"/>
        <v>135</v>
      </c>
      <c r="U122" s="160">
        <v>1</v>
      </c>
      <c r="V122" s="161">
        <v>154</v>
      </c>
      <c r="W122" s="157">
        <f t="shared" si="30"/>
        <v>1</v>
      </c>
    </row>
    <row r="123" spans="1:23" s="69" customFormat="1" ht="13.7" customHeight="1" x14ac:dyDescent="0.25">
      <c r="A123" s="53">
        <v>112</v>
      </c>
      <c r="B123" s="221">
        <v>23</v>
      </c>
      <c r="C123" s="63" t="str">
        <f t="shared" si="18"/>
        <v>GER19981211</v>
      </c>
      <c r="D123" s="64" t="str">
        <f t="shared" si="21"/>
        <v>POUL Rudolph</v>
      </c>
      <c r="E123" s="65" t="str">
        <f t="shared" si="22"/>
        <v>RG BERLIN</v>
      </c>
      <c r="F123" s="66" t="str">
        <f t="shared" si="23"/>
        <v>BER 032411</v>
      </c>
      <c r="G123" s="67" t="str">
        <f t="shared" si="24"/>
        <v>CADET</v>
      </c>
      <c r="H123" s="67" t="str">
        <f t="shared" si="25"/>
        <v>RGB</v>
      </c>
      <c r="I123" s="68">
        <v>7.8287037037037044E-2</v>
      </c>
      <c r="J123" s="31">
        <f t="shared" si="26"/>
        <v>3.587962962963015E-4</v>
      </c>
      <c r="K123" s="31">
        <f t="shared" si="29"/>
        <v>0</v>
      </c>
      <c r="M123" s="31"/>
      <c r="N123" s="31"/>
      <c r="O123" s="31"/>
      <c r="P123" s="150">
        <f t="shared" si="28"/>
        <v>7.8287037037037044E-2</v>
      </c>
      <c r="R123" s="158">
        <v>23</v>
      </c>
      <c r="S123" s="159">
        <v>112</v>
      </c>
      <c r="T123" s="157">
        <f t="shared" si="27"/>
        <v>23</v>
      </c>
      <c r="U123" s="160">
        <v>1</v>
      </c>
      <c r="V123" s="161">
        <v>161</v>
      </c>
      <c r="W123" s="157">
        <f t="shared" si="30"/>
        <v>1</v>
      </c>
    </row>
    <row r="124" spans="1:23" s="69" customFormat="1" ht="13.7" customHeight="1" x14ac:dyDescent="0.25">
      <c r="A124" s="53">
        <v>113</v>
      </c>
      <c r="B124" s="221">
        <v>11</v>
      </c>
      <c r="C124" s="63" t="str">
        <f t="shared" si="18"/>
        <v>GER19961026</v>
      </c>
      <c r="D124" s="64" t="str">
        <f t="shared" si="21"/>
        <v>FRANZ Paul</v>
      </c>
      <c r="E124" s="65" t="str">
        <f t="shared" si="22"/>
        <v>JUNIOREN SCHWALBE TEAM SACHSEN</v>
      </c>
      <c r="F124" s="66" t="str">
        <f t="shared" si="23"/>
        <v>SAC 134886</v>
      </c>
      <c r="G124" s="67" t="str">
        <f t="shared" si="24"/>
        <v>JUNIOR</v>
      </c>
      <c r="H124" s="67" t="str">
        <f t="shared" si="25"/>
        <v>SCW</v>
      </c>
      <c r="I124" s="68">
        <v>7.8287037037037044E-2</v>
      </c>
      <c r="J124" s="31">
        <f t="shared" si="26"/>
        <v>3.587962962963015E-4</v>
      </c>
      <c r="K124" s="31">
        <f t="shared" si="29"/>
        <v>0</v>
      </c>
      <c r="M124" s="31"/>
      <c r="N124" s="31"/>
      <c r="O124" s="31"/>
      <c r="P124" s="150">
        <f t="shared" si="28"/>
        <v>7.8287037037037044E-2</v>
      </c>
      <c r="R124" s="158">
        <v>11</v>
      </c>
      <c r="S124" s="159">
        <v>113</v>
      </c>
      <c r="T124" s="157">
        <f t="shared" si="27"/>
        <v>11</v>
      </c>
      <c r="U124" s="160">
        <v>1</v>
      </c>
      <c r="V124" s="161">
        <v>162</v>
      </c>
      <c r="W124" s="157">
        <f t="shared" si="30"/>
        <v>1</v>
      </c>
    </row>
    <row r="125" spans="1:23" s="69" customFormat="1" ht="13.7" customHeight="1" x14ac:dyDescent="0.25">
      <c r="A125" s="53">
        <v>114</v>
      </c>
      <c r="B125" s="99">
        <v>54</v>
      </c>
      <c r="C125" s="63" t="str">
        <f t="shared" si="18"/>
        <v>POL19960621</v>
      </c>
      <c r="D125" s="64" t="str">
        <f t="shared" si="21"/>
        <v>TROSZOK Robert</v>
      </c>
      <c r="E125" s="65" t="str">
        <f t="shared" si="22"/>
        <v>GRUPA KOLARSKA GLIWICE BA</v>
      </c>
      <c r="F125" s="66" t="str">
        <f t="shared" si="23"/>
        <v>SLA231</v>
      </c>
      <c r="G125" s="67" t="str">
        <f t="shared" si="24"/>
        <v>JUNIOR</v>
      </c>
      <c r="H125" s="67" t="str">
        <f t="shared" si="25"/>
        <v>GLI</v>
      </c>
      <c r="I125" s="68">
        <v>8.6064814814814816E-2</v>
      </c>
      <c r="J125" s="31">
        <f t="shared" si="26"/>
        <v>8.1365740740740738E-3</v>
      </c>
      <c r="K125" s="31">
        <f t="shared" si="29"/>
        <v>0</v>
      </c>
      <c r="M125" s="31"/>
      <c r="N125" s="31"/>
      <c r="O125" s="31"/>
      <c r="P125" s="150">
        <f t="shared" si="28"/>
        <v>8.6064814814814816E-2</v>
      </c>
      <c r="R125" s="158">
        <v>54</v>
      </c>
      <c r="S125" s="159">
        <v>114</v>
      </c>
      <c r="T125" s="157">
        <f t="shared" si="27"/>
        <v>54</v>
      </c>
      <c r="U125" s="160">
        <v>1</v>
      </c>
      <c r="V125" s="161">
        <v>163</v>
      </c>
      <c r="W125" s="157">
        <f t="shared" si="30"/>
        <v>1</v>
      </c>
    </row>
    <row r="126" spans="1:23" s="69" customFormat="1" ht="13.7" customHeight="1" x14ac:dyDescent="0.25">
      <c r="A126" s="53">
        <v>115</v>
      </c>
      <c r="B126" s="99">
        <v>72</v>
      </c>
      <c r="C126" s="63" t="str">
        <f t="shared" si="18"/>
        <v>SVK19960505</v>
      </c>
      <c r="D126" s="64" t="str">
        <f t="shared" si="21"/>
        <v>GANC Marek</v>
      </c>
      <c r="E126" s="65" t="str">
        <f t="shared" si="22"/>
        <v>SLÁVIA ŠG TRENČÍN</v>
      </c>
      <c r="F126" s="66">
        <f t="shared" si="23"/>
        <v>5847</v>
      </c>
      <c r="G126" s="67" t="str">
        <f t="shared" si="24"/>
        <v>JUNIOR</v>
      </c>
      <c r="H126" s="67" t="str">
        <f t="shared" si="25"/>
        <v>SLA</v>
      </c>
      <c r="I126" s="68">
        <v>8.7870370370370376E-2</v>
      </c>
      <c r="J126" s="31">
        <f t="shared" si="26"/>
        <v>9.9421296296296341E-3</v>
      </c>
      <c r="K126" s="31">
        <f t="shared" si="29"/>
        <v>0</v>
      </c>
      <c r="M126" s="31"/>
      <c r="N126" s="31"/>
      <c r="O126" s="31"/>
      <c r="P126" s="150">
        <f t="shared" si="28"/>
        <v>8.7870370370370376E-2</v>
      </c>
      <c r="R126" s="158">
        <v>72</v>
      </c>
      <c r="S126" s="159">
        <v>115</v>
      </c>
      <c r="T126" s="157">
        <f t="shared" si="27"/>
        <v>72</v>
      </c>
      <c r="U126" s="160">
        <v>1</v>
      </c>
      <c r="V126" s="161">
        <v>164</v>
      </c>
      <c r="W126" s="157">
        <f t="shared" si="30"/>
        <v>1</v>
      </c>
    </row>
    <row r="127" spans="1:23" s="69" customFormat="1" ht="13.7" customHeight="1" x14ac:dyDescent="0.25">
      <c r="A127" s="53">
        <v>116</v>
      </c>
      <c r="B127" s="99">
        <v>46</v>
      </c>
      <c r="C127" s="63" t="str">
        <f t="shared" si="18"/>
        <v>CZE19980811</v>
      </c>
      <c r="D127" s="64" t="str">
        <f t="shared" si="21"/>
        <v xml:space="preserve">NOVOTNÝ Jakub </v>
      </c>
      <c r="E127" s="65" t="str">
        <f t="shared" si="22"/>
        <v>KC KOOPERATIVA SG JABLONEC N.N</v>
      </c>
      <c r="F127" s="66">
        <f t="shared" si="23"/>
        <v>19278</v>
      </c>
      <c r="G127" s="67" t="str">
        <f t="shared" si="24"/>
        <v>CADET</v>
      </c>
      <c r="H127" s="67" t="str">
        <f t="shared" si="25"/>
        <v>KOO</v>
      </c>
      <c r="I127" s="68">
        <v>8.7870370370370376E-2</v>
      </c>
      <c r="J127" s="31">
        <f t="shared" si="26"/>
        <v>9.9421296296296341E-3</v>
      </c>
      <c r="K127" s="31">
        <f t="shared" si="29"/>
        <v>0</v>
      </c>
      <c r="M127" s="31"/>
      <c r="N127" s="31"/>
      <c r="O127" s="31"/>
      <c r="P127" s="150">
        <f t="shared" si="28"/>
        <v>8.7870370370370376E-2</v>
      </c>
      <c r="R127" s="158">
        <v>46</v>
      </c>
      <c r="S127" s="159">
        <v>116</v>
      </c>
      <c r="T127" s="157">
        <f t="shared" si="27"/>
        <v>46</v>
      </c>
      <c r="U127" s="160">
        <v>1</v>
      </c>
      <c r="V127" s="161">
        <v>165</v>
      </c>
      <c r="W127" s="157">
        <f t="shared" si="30"/>
        <v>1</v>
      </c>
    </row>
    <row r="128" spans="1:23" s="69" customFormat="1" ht="13.7" customHeight="1" x14ac:dyDescent="0.25">
      <c r="A128" s="53">
        <v>117</v>
      </c>
      <c r="B128" s="99">
        <v>103</v>
      </c>
      <c r="C128" s="63" t="str">
        <f t="shared" si="18"/>
        <v>CZE19970319</v>
      </c>
      <c r="D128" s="64" t="str">
        <f t="shared" si="21"/>
        <v xml:space="preserve">NEUMAN Daniel </v>
      </c>
      <c r="E128" s="65" t="str">
        <f t="shared" si="22"/>
        <v xml:space="preserve">TJ STADION LOUNY </v>
      </c>
      <c r="F128" s="66">
        <f t="shared" si="23"/>
        <v>9610</v>
      </c>
      <c r="G128" s="67" t="str">
        <f t="shared" si="24"/>
        <v>JUNIOR*</v>
      </c>
      <c r="H128" s="67" t="str">
        <f t="shared" si="25"/>
        <v>LOU</v>
      </c>
      <c r="I128" s="68">
        <v>8.7870370370370376E-2</v>
      </c>
      <c r="J128" s="31">
        <f t="shared" si="26"/>
        <v>9.9421296296296341E-3</v>
      </c>
      <c r="K128" s="31">
        <f t="shared" si="29"/>
        <v>0</v>
      </c>
      <c r="M128" s="31"/>
      <c r="N128" s="31"/>
      <c r="O128" s="31"/>
      <c r="P128" s="150">
        <f t="shared" si="28"/>
        <v>8.7870370370370376E-2</v>
      </c>
      <c r="R128" s="158">
        <v>103</v>
      </c>
      <c r="S128" s="159">
        <v>117</v>
      </c>
      <c r="T128" s="157">
        <f t="shared" si="27"/>
        <v>103</v>
      </c>
      <c r="U128" s="160">
        <v>1</v>
      </c>
      <c r="V128" s="161">
        <v>166</v>
      </c>
      <c r="W128" s="157">
        <f t="shared" si="30"/>
        <v>1</v>
      </c>
    </row>
    <row r="129" spans="1:23" s="69" customFormat="1" ht="13.7" customHeight="1" x14ac:dyDescent="0.25">
      <c r="A129" s="53">
        <v>118</v>
      </c>
      <c r="B129" s="99">
        <v>74</v>
      </c>
      <c r="C129" s="63" t="str">
        <f t="shared" si="18"/>
        <v>SVK19980324</v>
      </c>
      <c r="D129" s="64" t="str">
        <f t="shared" si="21"/>
        <v>KOVÁČ Milan</v>
      </c>
      <c r="E129" s="65" t="str">
        <f t="shared" si="22"/>
        <v>SLÁVIA ŠG TRENČÍN</v>
      </c>
      <c r="F129" s="66">
        <f t="shared" si="23"/>
        <v>5908</v>
      </c>
      <c r="G129" s="67" t="str">
        <f t="shared" si="24"/>
        <v>CADET</v>
      </c>
      <c r="H129" s="67" t="str">
        <f t="shared" si="25"/>
        <v>SLA</v>
      </c>
      <c r="I129" s="68">
        <v>8.7870370370370376E-2</v>
      </c>
      <c r="J129" s="31">
        <f t="shared" si="26"/>
        <v>9.9421296296296341E-3</v>
      </c>
      <c r="K129" s="31">
        <f t="shared" si="29"/>
        <v>0</v>
      </c>
      <c r="M129" s="31"/>
      <c r="N129" s="31"/>
      <c r="O129" s="31"/>
      <c r="P129" s="150">
        <f t="shared" si="28"/>
        <v>8.7870370370370376E-2</v>
      </c>
      <c r="R129" s="158">
        <v>74</v>
      </c>
      <c r="S129" s="159">
        <v>118</v>
      </c>
      <c r="T129" s="157">
        <f t="shared" si="27"/>
        <v>74</v>
      </c>
      <c r="U129" s="160">
        <v>1</v>
      </c>
      <c r="V129" s="161">
        <v>171</v>
      </c>
      <c r="W129" s="157">
        <f t="shared" si="30"/>
        <v>1</v>
      </c>
    </row>
    <row r="130" spans="1:23" s="69" customFormat="1" ht="13.7" customHeight="1" x14ac:dyDescent="0.25">
      <c r="A130" s="53"/>
      <c r="B130" s="99">
        <v>91</v>
      </c>
      <c r="C130" s="63" t="str">
        <f t="shared" si="18"/>
        <v>CZE19970324</v>
      </c>
      <c r="D130" s="64" t="str">
        <f t="shared" si="21"/>
        <v xml:space="preserve">DUBOVSKÝ Jakub </v>
      </c>
      <c r="E130" s="65" t="str">
        <f t="shared" si="22"/>
        <v xml:space="preserve">TJ FAVORIT BRNO </v>
      </c>
      <c r="F130" s="66">
        <f t="shared" si="23"/>
        <v>13738</v>
      </c>
      <c r="G130" s="67" t="str">
        <f t="shared" si="24"/>
        <v>JUNIOR*</v>
      </c>
      <c r="H130" s="67" t="str">
        <f t="shared" si="25"/>
        <v>FAV</v>
      </c>
      <c r="I130" s="68" t="s">
        <v>550</v>
      </c>
      <c r="J130" s="31"/>
      <c r="K130" s="31">
        <f t="shared" si="29"/>
        <v>0</v>
      </c>
      <c r="M130" s="31"/>
      <c r="N130" s="31"/>
      <c r="O130" s="31"/>
      <c r="P130" s="150"/>
      <c r="R130" s="158">
        <v>104</v>
      </c>
      <c r="S130" s="159">
        <v>119</v>
      </c>
      <c r="T130" s="157">
        <f t="shared" si="27"/>
        <v>104</v>
      </c>
      <c r="U130" s="160">
        <v>1</v>
      </c>
      <c r="V130" s="161">
        <v>172</v>
      </c>
      <c r="W130" s="157">
        <f t="shared" si="30"/>
        <v>1</v>
      </c>
    </row>
    <row r="131" spans="1:23" s="69" customFormat="1" ht="13.7" customHeight="1" x14ac:dyDescent="0.25">
      <c r="A131" s="53"/>
      <c r="B131" s="99">
        <v>92</v>
      </c>
      <c r="C131" s="63" t="str">
        <f t="shared" si="18"/>
        <v>CZE19970414</v>
      </c>
      <c r="D131" s="64" t="str">
        <f t="shared" si="21"/>
        <v xml:space="preserve">DVOŘÁK Jakub </v>
      </c>
      <c r="E131" s="65" t="str">
        <f t="shared" si="22"/>
        <v xml:space="preserve">TJ FAVORIT BRNO </v>
      </c>
      <c r="F131" s="66">
        <f t="shared" si="23"/>
        <v>14284</v>
      </c>
      <c r="G131" s="67" t="str">
        <f t="shared" si="24"/>
        <v>JUNIOR*</v>
      </c>
      <c r="H131" s="67" t="str">
        <f t="shared" si="25"/>
        <v>FAV</v>
      </c>
      <c r="I131" s="68" t="s">
        <v>550</v>
      </c>
      <c r="J131" s="31"/>
      <c r="K131" s="31">
        <f t="shared" si="29"/>
        <v>0</v>
      </c>
      <c r="M131" s="31"/>
      <c r="N131" s="31"/>
      <c r="O131" s="31"/>
      <c r="P131" s="150"/>
      <c r="R131" s="158">
        <v>102</v>
      </c>
      <c r="S131" s="159">
        <v>120</v>
      </c>
      <c r="T131" s="157">
        <f t="shared" si="27"/>
        <v>102</v>
      </c>
      <c r="U131" s="160">
        <v>1</v>
      </c>
      <c r="V131" s="161">
        <v>173</v>
      </c>
      <c r="W131" s="157">
        <f t="shared" si="30"/>
        <v>1</v>
      </c>
    </row>
    <row r="132" spans="1:23" s="69" customFormat="1" ht="13.7" customHeight="1" x14ac:dyDescent="0.25">
      <c r="A132" s="53"/>
      <c r="B132" s="99">
        <v>98</v>
      </c>
      <c r="C132" s="63" t="str">
        <f t="shared" si="18"/>
        <v>CZE19961029</v>
      </c>
      <c r="D132" s="64" t="str">
        <f t="shared" si="21"/>
        <v xml:space="preserve">STŘEDA Kryštof </v>
      </c>
      <c r="E132" s="65" t="str">
        <f t="shared" si="22"/>
        <v xml:space="preserve">TJ FAVORIT BRNO </v>
      </c>
      <c r="F132" s="66">
        <f t="shared" si="23"/>
        <v>11566</v>
      </c>
      <c r="G132" s="67" t="str">
        <f t="shared" si="24"/>
        <v>JUNIOR</v>
      </c>
      <c r="H132" s="67" t="str">
        <f t="shared" si="25"/>
        <v>FAV</v>
      </c>
      <c r="I132" s="68" t="s">
        <v>550</v>
      </c>
      <c r="J132" s="31"/>
      <c r="K132" s="31">
        <f t="shared" si="29"/>
        <v>0</v>
      </c>
      <c r="M132" s="31"/>
      <c r="N132" s="31"/>
      <c r="O132" s="31"/>
      <c r="P132" s="150"/>
      <c r="R132" s="158"/>
      <c r="S132" s="159">
        <v>121</v>
      </c>
      <c r="T132" s="157" t="str">
        <f t="shared" si="27"/>
        <v/>
      </c>
      <c r="U132" s="160">
        <v>1</v>
      </c>
      <c r="V132" s="161">
        <v>174</v>
      </c>
      <c r="W132" s="157">
        <f t="shared" si="30"/>
        <v>1</v>
      </c>
    </row>
    <row r="133" spans="1:23" s="69" customFormat="1" ht="13.7" customHeight="1" x14ac:dyDescent="0.25">
      <c r="A133" s="53"/>
      <c r="B133" s="99">
        <v>102</v>
      </c>
      <c r="C133" s="63" t="str">
        <f t="shared" si="18"/>
        <v>CZE19991218</v>
      </c>
      <c r="D133" s="64" t="str">
        <f t="shared" si="21"/>
        <v xml:space="preserve">HOLUBOVSKÝ Ondřej </v>
      </c>
      <c r="E133" s="65" t="str">
        <f t="shared" si="22"/>
        <v xml:space="preserve">TJ STADION LOUNY </v>
      </c>
      <c r="F133" s="66">
        <f t="shared" si="23"/>
        <v>12235</v>
      </c>
      <c r="G133" s="67" t="str">
        <f t="shared" si="24"/>
        <v>CADET*</v>
      </c>
      <c r="H133" s="67" t="str">
        <f t="shared" si="25"/>
        <v>LOU</v>
      </c>
      <c r="I133" s="68" t="s">
        <v>550</v>
      </c>
      <c r="J133" s="31"/>
      <c r="K133" s="31">
        <f t="shared" si="29"/>
        <v>0</v>
      </c>
      <c r="M133" s="31"/>
      <c r="N133" s="31"/>
      <c r="O133" s="31"/>
      <c r="P133" s="150"/>
      <c r="R133" s="158"/>
      <c r="S133" s="159">
        <v>122</v>
      </c>
      <c r="T133" s="157" t="str">
        <f t="shared" si="27"/>
        <v/>
      </c>
      <c r="U133" s="160">
        <v>1</v>
      </c>
      <c r="V133" s="161">
        <v>175</v>
      </c>
      <c r="W133" s="157">
        <f t="shared" si="30"/>
        <v>1</v>
      </c>
    </row>
    <row r="134" spans="1:23" s="69" customFormat="1" ht="13.7" customHeight="1" x14ac:dyDescent="0.25">
      <c r="A134" s="53"/>
      <c r="B134" s="99">
        <v>104</v>
      </c>
      <c r="C134" s="63" t="str">
        <f t="shared" si="18"/>
        <v>CZE19960702</v>
      </c>
      <c r="D134" s="64" t="str">
        <f t="shared" si="21"/>
        <v>DULAJ Jan</v>
      </c>
      <c r="E134" s="65" t="str">
        <f t="shared" si="22"/>
        <v>SKP DUHA FORT LANŠKROUN</v>
      </c>
      <c r="F134" s="66">
        <f t="shared" si="23"/>
        <v>119368</v>
      </c>
      <c r="G134" s="67" t="str">
        <f t="shared" si="24"/>
        <v>JUNIOR</v>
      </c>
      <c r="H134" s="67" t="str">
        <f t="shared" si="25"/>
        <v>LOU</v>
      </c>
      <c r="I134" s="68" t="s">
        <v>550</v>
      </c>
      <c r="J134" s="31"/>
      <c r="K134" s="31">
        <f t="shared" si="29"/>
        <v>0</v>
      </c>
      <c r="M134" s="31"/>
      <c r="N134" s="31"/>
      <c r="O134" s="31"/>
      <c r="P134" s="150"/>
      <c r="R134" s="158"/>
      <c r="S134" s="159">
        <v>123</v>
      </c>
      <c r="T134" s="157" t="str">
        <f t="shared" si="27"/>
        <v/>
      </c>
      <c r="U134" s="160">
        <v>1</v>
      </c>
      <c r="V134" s="161">
        <v>176</v>
      </c>
      <c r="W134" s="157">
        <f t="shared" si="30"/>
        <v>1</v>
      </c>
    </row>
    <row r="135" spans="1:23" s="69" customFormat="1" ht="13.7" customHeight="1" x14ac:dyDescent="0.25">
      <c r="A135" s="53"/>
      <c r="B135" s="99">
        <v>121</v>
      </c>
      <c r="C135" s="63" t="str">
        <f t="shared" si="18"/>
        <v>CZE19981231</v>
      </c>
      <c r="D135" s="64" t="str">
        <f t="shared" si="21"/>
        <v xml:space="preserve">BAJER Vilém </v>
      </c>
      <c r="E135" s="65" t="str">
        <f t="shared" si="22"/>
        <v xml:space="preserve">SKC TUFO PROSTĚJOV </v>
      </c>
      <c r="F135" s="66">
        <f t="shared" si="23"/>
        <v>6871</v>
      </c>
      <c r="G135" s="67" t="str">
        <f t="shared" si="24"/>
        <v>CADET</v>
      </c>
      <c r="H135" s="67" t="str">
        <f t="shared" si="25"/>
        <v>SKC</v>
      </c>
      <c r="I135" s="68" t="s">
        <v>550</v>
      </c>
      <c r="J135" s="31"/>
      <c r="K135" s="31">
        <f t="shared" si="29"/>
        <v>0</v>
      </c>
      <c r="M135" s="31"/>
      <c r="N135" s="31"/>
      <c r="O135" s="31"/>
      <c r="P135" s="150"/>
      <c r="R135" s="158"/>
      <c r="S135" s="159">
        <v>124</v>
      </c>
      <c r="T135" s="157" t="str">
        <f t="shared" si="27"/>
        <v/>
      </c>
      <c r="U135" s="160">
        <v>1</v>
      </c>
      <c r="V135" s="161">
        <v>181</v>
      </c>
      <c r="W135" s="157">
        <f t="shared" si="30"/>
        <v>1</v>
      </c>
    </row>
    <row r="136" spans="1:23" s="69" customFormat="1" ht="13.7" customHeight="1" x14ac:dyDescent="0.25">
      <c r="A136" s="53"/>
      <c r="B136" s="99">
        <v>1</v>
      </c>
      <c r="C136" s="63" t="str">
        <f t="shared" si="18"/>
        <v>GER19970725</v>
      </c>
      <c r="D136" s="64" t="str">
        <f t="shared" si="21"/>
        <v>MAGDEBURG Tobias</v>
      </c>
      <c r="E136" s="65" t="str">
        <f t="shared" si="22"/>
        <v>RSV SONNEBERG</v>
      </c>
      <c r="F136" s="66" t="str">
        <f t="shared" si="23"/>
        <v>THÜ173735</v>
      </c>
      <c r="G136" s="67" t="str">
        <f t="shared" si="24"/>
        <v>JUNIOR*</v>
      </c>
      <c r="H136" s="67" t="str">
        <f t="shared" si="25"/>
        <v>TUR</v>
      </c>
      <c r="I136" s="68" t="s">
        <v>121</v>
      </c>
      <c r="J136" s="31"/>
      <c r="K136" s="31">
        <f t="shared" si="29"/>
        <v>0</v>
      </c>
      <c r="M136" s="31"/>
      <c r="N136" s="31"/>
      <c r="O136" s="31"/>
      <c r="P136" s="150"/>
      <c r="R136" s="158"/>
      <c r="S136" s="159">
        <v>125</v>
      </c>
      <c r="T136" s="157" t="str">
        <f t="shared" si="27"/>
        <v/>
      </c>
      <c r="U136" s="160">
        <v>1</v>
      </c>
      <c r="V136" s="161">
        <v>182</v>
      </c>
      <c r="W136" s="157">
        <f t="shared" si="30"/>
        <v>1</v>
      </c>
    </row>
    <row r="137" spans="1:23" s="69" customFormat="1" ht="13.7" customHeight="1" x14ac:dyDescent="0.25">
      <c r="A137" s="53"/>
      <c r="B137" s="99">
        <v>33</v>
      </c>
      <c r="C137" s="63" t="str">
        <f t="shared" si="18"/>
        <v>CZE19970913</v>
      </c>
      <c r="D137" s="64" t="str">
        <f t="shared" si="21"/>
        <v xml:space="preserve">VOJÍŘ Jaroslav </v>
      </c>
      <c r="E137" s="65" t="str">
        <f t="shared" si="22"/>
        <v xml:space="preserve">REMERX - MERIDA TEAM KOLÍN </v>
      </c>
      <c r="F137" s="66">
        <f t="shared" si="23"/>
        <v>12178</v>
      </c>
      <c r="G137" s="67" t="str">
        <f t="shared" si="24"/>
        <v>JUNIOR*</v>
      </c>
      <c r="H137" s="67" t="str">
        <f t="shared" si="25"/>
        <v>REM</v>
      </c>
      <c r="I137" s="68" t="s">
        <v>121</v>
      </c>
      <c r="J137" s="31"/>
      <c r="K137" s="31">
        <f t="shared" si="29"/>
        <v>0</v>
      </c>
      <c r="M137" s="31"/>
      <c r="N137" s="31"/>
      <c r="O137" s="31"/>
      <c r="P137" s="150"/>
      <c r="R137" s="158"/>
      <c r="S137" s="159">
        <v>126</v>
      </c>
      <c r="T137" s="157" t="str">
        <f t="shared" si="27"/>
        <v/>
      </c>
      <c r="U137" s="160">
        <v>1</v>
      </c>
      <c r="V137" s="161">
        <v>183</v>
      </c>
      <c r="W137" s="157">
        <f t="shared" si="30"/>
        <v>1</v>
      </c>
    </row>
    <row r="138" spans="1:23" s="69" customFormat="1" ht="13.7" customHeight="1" x14ac:dyDescent="0.25">
      <c r="A138" s="53"/>
      <c r="B138" s="99">
        <v>61</v>
      </c>
      <c r="C138" s="63" t="str">
        <f t="shared" si="18"/>
        <v>POL19960305</v>
      </c>
      <c r="D138" s="64" t="str">
        <f t="shared" si="21"/>
        <v>PRZEWIĘDA Paweł</v>
      </c>
      <c r="E138" s="65" t="str">
        <f t="shared" si="22"/>
        <v xml:space="preserve">DSR AUTHOR GÓRNIK WAŁBRZYCH </v>
      </c>
      <c r="F138" s="66" t="str">
        <f t="shared" si="23"/>
        <v>DLS177</v>
      </c>
      <c r="G138" s="67" t="str">
        <f t="shared" si="24"/>
        <v>JUNIOR</v>
      </c>
      <c r="H138" s="67" t="str">
        <f t="shared" si="25"/>
        <v>GOR</v>
      </c>
      <c r="I138" s="68" t="s">
        <v>121</v>
      </c>
      <c r="J138" s="31"/>
      <c r="K138" s="31">
        <f t="shared" si="29"/>
        <v>0</v>
      </c>
      <c r="M138" s="31"/>
      <c r="N138" s="31"/>
      <c r="O138" s="31"/>
      <c r="P138" s="150"/>
      <c r="R138" s="158"/>
      <c r="S138" s="159">
        <v>127</v>
      </c>
      <c r="T138" s="157" t="str">
        <f t="shared" si="27"/>
        <v/>
      </c>
      <c r="U138" s="160">
        <v>1</v>
      </c>
      <c r="V138" s="161">
        <v>184</v>
      </c>
      <c r="W138" s="157">
        <f t="shared" si="30"/>
        <v>1</v>
      </c>
    </row>
    <row r="139" spans="1:23" s="69" customFormat="1" ht="13.7" customHeight="1" x14ac:dyDescent="0.25">
      <c r="A139" s="53"/>
      <c r="B139" s="99">
        <v>64</v>
      </c>
      <c r="C139" s="63" t="str">
        <f t="shared" si="18"/>
        <v>POL19960504</v>
      </c>
      <c r="D139" s="64" t="str">
        <f t="shared" si="21"/>
        <v>POLKOWSKI Bartłomiej</v>
      </c>
      <c r="E139" s="65" t="str">
        <f t="shared" si="22"/>
        <v xml:space="preserve">DSR AUTHOR GÓRNIK WAŁBRZYCH </v>
      </c>
      <c r="F139" s="66" t="str">
        <f t="shared" si="23"/>
        <v>DLS162</v>
      </c>
      <c r="G139" s="67" t="str">
        <f t="shared" si="24"/>
        <v>JUNIOR</v>
      </c>
      <c r="H139" s="67" t="str">
        <f t="shared" si="25"/>
        <v>GOR</v>
      </c>
      <c r="I139" s="68" t="s">
        <v>121</v>
      </c>
      <c r="J139" s="31"/>
      <c r="K139" s="31">
        <f t="shared" si="29"/>
        <v>0</v>
      </c>
      <c r="M139" s="31"/>
      <c r="N139" s="31"/>
      <c r="O139" s="31"/>
      <c r="P139" s="150"/>
      <c r="R139" s="158"/>
      <c r="S139" s="159">
        <v>128</v>
      </c>
      <c r="T139" s="157" t="str">
        <f t="shared" si="27"/>
        <v/>
      </c>
      <c r="U139" s="160">
        <v>1</v>
      </c>
      <c r="V139" s="161">
        <v>185</v>
      </c>
      <c r="W139" s="157">
        <f t="shared" si="30"/>
        <v>1</v>
      </c>
    </row>
    <row r="140" spans="1:23" s="69" customFormat="1" ht="13.7" customHeight="1" x14ac:dyDescent="0.25">
      <c r="A140" s="53"/>
      <c r="B140" s="99">
        <v>66</v>
      </c>
      <c r="C140" s="63" t="str">
        <f t="shared" ref="C140:C141" si="31">VLOOKUP(B140,STARTOVKA,2,0)</f>
        <v>POL19980719</v>
      </c>
      <c r="D140" s="64" t="str">
        <f t="shared" si="21"/>
        <v>NOWAK Michał</v>
      </c>
      <c r="E140" s="65" t="str">
        <f t="shared" si="22"/>
        <v xml:space="preserve">DSR AUTHOR GÓRNIK WAŁBRZYCH </v>
      </c>
      <c r="F140" s="66" t="str">
        <f t="shared" si="23"/>
        <v>DLS163</v>
      </c>
      <c r="G140" s="67" t="str">
        <f t="shared" si="24"/>
        <v>CADET</v>
      </c>
      <c r="H140" s="67" t="str">
        <f t="shared" si="25"/>
        <v>GOR</v>
      </c>
      <c r="I140" s="68" t="s">
        <v>121</v>
      </c>
      <c r="J140" s="31"/>
      <c r="K140" s="31">
        <f t="shared" si="29"/>
        <v>0</v>
      </c>
      <c r="M140" s="31"/>
      <c r="N140" s="31"/>
      <c r="O140" s="31"/>
      <c r="P140" s="150"/>
      <c r="R140" s="158"/>
      <c r="S140" s="159">
        <v>129</v>
      </c>
      <c r="T140" s="157"/>
      <c r="U140" s="160"/>
      <c r="V140" s="161">
        <v>186</v>
      </c>
      <c r="W140" s="157"/>
    </row>
    <row r="141" spans="1:23" s="69" customFormat="1" ht="13.7" customHeight="1" x14ac:dyDescent="0.25">
      <c r="A141" s="53"/>
      <c r="B141" s="99">
        <v>138</v>
      </c>
      <c r="C141" s="63" t="str">
        <f t="shared" si="31"/>
        <v>CZE19961125</v>
      </c>
      <c r="D141" s="64" t="str">
        <f t="shared" ref="D141" si="32">VLOOKUP(B141,STARTOVKA,3,0)</f>
        <v xml:space="preserve">MODLITBA Vojtěch </v>
      </c>
      <c r="E141" s="65" t="str">
        <f t="shared" ref="E141" si="33">VLOOKUP(B141,STARTOVKA,4,0)</f>
        <v xml:space="preserve">H.M. SPORT ČESKÝ KRUMLOV </v>
      </c>
      <c r="F141" s="66">
        <f t="shared" ref="F141" si="34">VLOOKUP(B141,STARTOVKA,5,0)</f>
        <v>9819</v>
      </c>
      <c r="G141" s="67" t="str">
        <f t="shared" ref="G141" si="35">VLOOKUP(B141,STARTOVKA,6,0)</f>
        <v>JUNIOR</v>
      </c>
      <c r="H141" s="67" t="str">
        <f t="shared" ref="H141" si="36">VLOOKUP(B141,STARTOVKA,7,0)</f>
        <v>RCA</v>
      </c>
      <c r="I141" s="68" t="s">
        <v>121</v>
      </c>
      <c r="J141" s="31"/>
      <c r="K141" s="31">
        <f t="shared" si="29"/>
        <v>0</v>
      </c>
      <c r="M141" s="31"/>
      <c r="N141" s="31"/>
      <c r="O141" s="31"/>
      <c r="P141" s="150"/>
      <c r="R141" s="158"/>
      <c r="S141" s="159">
        <v>130</v>
      </c>
      <c r="T141" s="157" t="str">
        <f t="shared" si="27"/>
        <v/>
      </c>
      <c r="U141" s="160">
        <v>1</v>
      </c>
      <c r="V141" s="161">
        <v>187</v>
      </c>
      <c r="W141" s="157">
        <f>SUMIF(T:T,V:V,U:U)</f>
        <v>1</v>
      </c>
    </row>
    <row r="142" spans="1:2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23" s="5" customFormat="1" x14ac:dyDescent="0.2"/>
    <row r="144" spans="1:23" s="5" customFormat="1" ht="17.25" customHeight="1" x14ac:dyDescent="0.2">
      <c r="B144" s="32"/>
      <c r="C144" s="50" t="s">
        <v>63</v>
      </c>
      <c r="D144" s="33"/>
      <c r="E144" s="33"/>
      <c r="F144" s="33"/>
      <c r="H144" s="166" t="s">
        <v>128</v>
      </c>
      <c r="I144" s="166"/>
      <c r="J144" s="166"/>
      <c r="K144" s="166"/>
    </row>
    <row r="145" spans="1:12" s="5" customFormat="1" ht="5.25" customHeight="1" x14ac:dyDescent="0.2">
      <c r="B145" s="10"/>
      <c r="C145" s="9"/>
      <c r="D145" s="11"/>
      <c r="E145" s="8"/>
    </row>
    <row r="146" spans="1:12" s="5" customFormat="1" ht="12.75" customHeight="1" x14ac:dyDescent="0.2">
      <c r="B146" s="10"/>
      <c r="C146" s="168" t="s">
        <v>534</v>
      </c>
      <c r="D146" s="11"/>
      <c r="E146" s="8"/>
    </row>
    <row r="147" spans="1:12" s="5" customFormat="1" ht="12.75" customHeight="1" x14ac:dyDescent="0.2">
      <c r="A147" s="260" t="s">
        <v>32</v>
      </c>
      <c r="B147" s="63">
        <v>175</v>
      </c>
      <c r="C147" s="63" t="str">
        <f t="shared" ref="C147:C149" si="37">VLOOKUP(B147,STARTOVKA,2,0)</f>
        <v>SVK19960415</v>
      </c>
      <c r="D147" s="64" t="str">
        <f t="shared" ref="D147:D149" si="38">VLOOKUP(B147,STARTOVKA,3,0)</f>
        <v>ZVERKO David</v>
      </c>
      <c r="E147" s="65" t="str">
        <f t="shared" ref="E147:E149" si="39">VLOOKUP(B147,STARTOVKA,4,0)</f>
        <v xml:space="preserve">SLOVAK CYCLING FEDERATION </v>
      </c>
      <c r="F147" s="63"/>
      <c r="H147" s="259" t="s">
        <v>554</v>
      </c>
      <c r="I147" s="259"/>
      <c r="J147" s="259"/>
      <c r="K147" s="259"/>
      <c r="L147" s="223"/>
    </row>
    <row r="148" spans="1:12" s="5" customFormat="1" x14ac:dyDescent="0.2">
      <c r="A148" s="261"/>
      <c r="B148" s="63">
        <v>115</v>
      </c>
      <c r="C148" s="63" t="str">
        <f t="shared" si="37"/>
        <v>GER19961029</v>
      </c>
      <c r="D148" s="64" t="str">
        <f t="shared" si="38"/>
        <v>KOCH Chrisitan</v>
      </c>
      <c r="E148" s="65" t="str">
        <f t="shared" si="39"/>
        <v>TEAM BRANDENBURG - RSC COTTBUS</v>
      </c>
      <c r="F148" s="63"/>
      <c r="H148" s="259"/>
      <c r="I148" s="259"/>
      <c r="J148" s="259"/>
      <c r="K148" s="259"/>
      <c r="L148" s="223"/>
    </row>
    <row r="149" spans="1:12" s="5" customFormat="1" x14ac:dyDescent="0.2">
      <c r="A149" s="262"/>
      <c r="B149" s="63">
        <v>151</v>
      </c>
      <c r="C149" s="63" t="str">
        <f t="shared" si="37"/>
        <v>CZE19960501</v>
      </c>
      <c r="D149" s="64" t="str">
        <f t="shared" si="38"/>
        <v>TOMAN Vojtěch</v>
      </c>
      <c r="E149" s="65" t="str">
        <f t="shared" si="39"/>
        <v>STEVENS ZNOJMO</v>
      </c>
      <c r="F149" s="63"/>
      <c r="H149" s="259"/>
      <c r="I149" s="259"/>
      <c r="J149" s="259"/>
      <c r="K149" s="259"/>
      <c r="L149" s="223"/>
    </row>
    <row r="150" spans="1:12" s="5" customFormat="1" ht="7.5" customHeight="1" x14ac:dyDescent="0.2">
      <c r="B150" s="51"/>
      <c r="C150" s="51"/>
      <c r="D150" s="34"/>
      <c r="E150" s="51"/>
      <c r="F150" s="34"/>
      <c r="H150" s="259"/>
      <c r="I150" s="259"/>
      <c r="J150" s="259"/>
      <c r="K150" s="259"/>
      <c r="L150" s="223"/>
    </row>
    <row r="151" spans="1:12" s="5" customFormat="1" ht="12.75" customHeight="1" x14ac:dyDescent="0.2">
      <c r="B151" s="10"/>
      <c r="C151" s="168" t="s">
        <v>535</v>
      </c>
      <c r="D151" s="11"/>
      <c r="E151" s="8"/>
      <c r="H151" s="259"/>
      <c r="I151" s="259"/>
      <c r="J151" s="259"/>
      <c r="K151" s="259"/>
      <c r="L151" s="223"/>
    </row>
    <row r="152" spans="1:12" s="5" customFormat="1" ht="12.75" customHeight="1" x14ac:dyDescent="0.2">
      <c r="A152" s="260" t="s">
        <v>31</v>
      </c>
      <c r="B152" s="63">
        <v>132</v>
      </c>
      <c r="C152" s="63" t="str">
        <f t="shared" ref="C152:C154" si="40">VLOOKUP(B152,STARTOVKA,2,0)</f>
        <v>AUT19961021</v>
      </c>
      <c r="D152" s="64" t="str">
        <f t="shared" ref="D152:D154" si="41">VLOOKUP(B152,STARTOVKA,3,0)</f>
        <v>KNAPP Daniel</v>
      </c>
      <c r="E152" s="65" t="str">
        <f t="shared" ref="E152:E154" si="42">VLOOKUP(B152,STARTOVKA,4,0)</f>
        <v>UNION RAIFFEISEN RADTEAM TIROL</v>
      </c>
      <c r="F152" s="63"/>
      <c r="H152" s="259"/>
      <c r="I152" s="259"/>
      <c r="J152" s="259"/>
      <c r="K152" s="259"/>
      <c r="L152" s="223"/>
    </row>
    <row r="153" spans="1:12" s="5" customFormat="1" x14ac:dyDescent="0.2">
      <c r="A153" s="261"/>
      <c r="B153" s="63">
        <v>150</v>
      </c>
      <c r="C153" s="63" t="str">
        <f t="shared" si="40"/>
        <v>CZE19970926</v>
      </c>
      <c r="D153" s="64" t="str">
        <f t="shared" si="41"/>
        <v xml:space="preserve">BRÁZDA Michal </v>
      </c>
      <c r="E153" s="65" t="str">
        <f t="shared" si="42"/>
        <v xml:space="preserve">MAPEI CYKLO KAŇKOVSKÝ </v>
      </c>
      <c r="F153" s="63"/>
      <c r="H153" s="259"/>
      <c r="I153" s="259"/>
      <c r="J153" s="259"/>
      <c r="K153" s="259"/>
      <c r="L153" s="15"/>
    </row>
    <row r="154" spans="1:12" s="5" customFormat="1" x14ac:dyDescent="0.2">
      <c r="A154" s="262"/>
      <c r="B154" s="63">
        <v>12</v>
      </c>
      <c r="C154" s="63" t="str">
        <f t="shared" si="40"/>
        <v>GER19960405</v>
      </c>
      <c r="D154" s="64" t="str">
        <f t="shared" si="41"/>
        <v>WITTE Reinhard</v>
      </c>
      <c r="E154" s="65" t="str">
        <f t="shared" si="42"/>
        <v>JUNIOREN SCHWALBE TEAM SACHSEN</v>
      </c>
      <c r="F154" s="63"/>
      <c r="H154" s="259"/>
      <c r="I154" s="259"/>
      <c r="J154" s="259"/>
      <c r="K154" s="259"/>
    </row>
    <row r="155" spans="1:12" s="5" customFormat="1" x14ac:dyDescent="0.2">
      <c r="E155" s="15"/>
      <c r="H155" s="259"/>
      <c r="I155" s="259"/>
      <c r="J155" s="259"/>
      <c r="K155" s="259"/>
    </row>
    <row r="156" spans="1:12" s="5" customFormat="1" ht="17.25" customHeight="1" x14ac:dyDescent="0.2">
      <c r="B156" s="32"/>
      <c r="C156" s="50" t="s">
        <v>64</v>
      </c>
      <c r="D156" s="33"/>
      <c r="E156" s="33"/>
      <c r="F156" s="33"/>
      <c r="H156" s="259"/>
      <c r="I156" s="259"/>
      <c r="J156" s="259"/>
      <c r="K156" s="259"/>
    </row>
    <row r="157" spans="1:12" s="5" customFormat="1" ht="5.25" customHeight="1" x14ac:dyDescent="0.2">
      <c r="B157" s="10"/>
      <c r="C157" s="9"/>
      <c r="D157" s="11"/>
      <c r="E157" s="8"/>
      <c r="H157" s="259"/>
      <c r="I157" s="259"/>
      <c r="J157" s="259"/>
      <c r="K157" s="259"/>
    </row>
    <row r="158" spans="1:12" s="5" customFormat="1" ht="12.75" customHeight="1" x14ac:dyDescent="0.2">
      <c r="B158" s="10"/>
      <c r="C158" s="168" t="s">
        <v>531</v>
      </c>
      <c r="D158" s="11"/>
      <c r="E158" s="8"/>
      <c r="H158" s="259"/>
      <c r="I158" s="259"/>
      <c r="J158" s="259"/>
      <c r="K158" s="259"/>
    </row>
    <row r="159" spans="1:12" s="5" customFormat="1" ht="12.75" customHeight="1" x14ac:dyDescent="0.2">
      <c r="A159" s="263" t="s">
        <v>32</v>
      </c>
      <c r="B159" s="63">
        <v>2</v>
      </c>
      <c r="C159" s="63" t="str">
        <f t="shared" ref="C159:C162" si="43">VLOOKUP(B159,STARTOVKA,2,0)</f>
        <v>GER19960829</v>
      </c>
      <c r="D159" s="64" t="str">
        <f t="shared" ref="D159:D162" si="44">VLOOKUP(B159,STARTOVKA,3,0)</f>
        <v>SCHUCHMANN Franz-Leon</v>
      </c>
      <c r="E159" s="65" t="str">
        <f t="shared" ref="E159:E162" si="45">VLOOKUP(B159,STARTOVKA,4,0)</f>
        <v>RSV SONNEBERG</v>
      </c>
      <c r="F159" s="63"/>
      <c r="H159" s="259"/>
      <c r="I159" s="259"/>
      <c r="J159" s="259"/>
      <c r="K159" s="259"/>
    </row>
    <row r="160" spans="1:12" s="5" customFormat="1" x14ac:dyDescent="0.2">
      <c r="A160" s="264"/>
      <c r="B160" s="63">
        <v>143</v>
      </c>
      <c r="C160" s="63" t="str">
        <f t="shared" si="43"/>
        <v>CZE19960606</v>
      </c>
      <c r="D160" s="64" t="str">
        <f t="shared" si="44"/>
        <v xml:space="preserve">KOVÁŘ Jan </v>
      </c>
      <c r="E160" s="65" t="str">
        <f t="shared" si="45"/>
        <v xml:space="preserve">MAPEI CYKLO KAŇKOVSKÝ </v>
      </c>
      <c r="F160" s="63"/>
      <c r="H160" s="259"/>
      <c r="I160" s="259"/>
      <c r="J160" s="259"/>
      <c r="K160" s="259"/>
    </row>
    <row r="161" spans="1:12" s="5" customFormat="1" ht="12.75" customHeight="1" x14ac:dyDescent="0.2">
      <c r="A161" s="264"/>
      <c r="B161" s="63">
        <v>85</v>
      </c>
      <c r="C161" s="63" t="str">
        <f t="shared" si="43"/>
        <v>CZE19970804</v>
      </c>
      <c r="D161" s="64" t="str">
        <f t="shared" si="44"/>
        <v xml:space="preserve">SPUDIL Martin </v>
      </c>
      <c r="E161" s="65" t="str">
        <f t="shared" si="45"/>
        <v xml:space="preserve">SP KOLO LOAP SPECIALIZED </v>
      </c>
      <c r="F161" s="63"/>
      <c r="L161" s="223"/>
    </row>
    <row r="162" spans="1:12" s="5" customFormat="1" x14ac:dyDescent="0.2">
      <c r="A162" s="264"/>
      <c r="B162" s="63">
        <v>18</v>
      </c>
      <c r="C162" s="63" t="str">
        <f t="shared" si="43"/>
        <v>GER19980906</v>
      </c>
      <c r="D162" s="64" t="str">
        <f t="shared" si="44"/>
        <v>ZSCHOCKE Maximilian</v>
      </c>
      <c r="E162" s="65" t="str">
        <f t="shared" si="45"/>
        <v>JUNIOREN SCHWALBE TEAM SACHSEN</v>
      </c>
      <c r="F162" s="63"/>
      <c r="H162" s="259" t="s">
        <v>555</v>
      </c>
      <c r="I162" s="259"/>
      <c r="J162" s="259"/>
      <c r="K162" s="259"/>
      <c r="L162" s="223"/>
    </row>
    <row r="163" spans="1:12" s="5" customFormat="1" ht="7.5" customHeight="1" x14ac:dyDescent="0.2">
      <c r="B163" s="51"/>
      <c r="C163" s="51"/>
      <c r="D163" s="34"/>
      <c r="E163" s="51"/>
      <c r="F163" s="34"/>
      <c r="H163" s="259"/>
      <c r="I163" s="259"/>
      <c r="J163" s="259"/>
      <c r="K163" s="259"/>
      <c r="L163" s="223"/>
    </row>
    <row r="164" spans="1:12" s="5" customFormat="1" ht="12.75" customHeight="1" x14ac:dyDescent="0.2">
      <c r="B164" s="10"/>
      <c r="C164" s="168" t="s">
        <v>532</v>
      </c>
      <c r="D164" s="11"/>
      <c r="E164" s="8"/>
      <c r="H164" s="259"/>
      <c r="I164" s="259"/>
      <c r="J164" s="259"/>
      <c r="K164" s="259"/>
      <c r="L164" s="223"/>
    </row>
    <row r="165" spans="1:12" s="5" customFormat="1" ht="12.75" customHeight="1" x14ac:dyDescent="0.2">
      <c r="A165" s="263" t="s">
        <v>31</v>
      </c>
      <c r="B165" s="63">
        <v>12</v>
      </c>
      <c r="C165" s="63" t="str">
        <f t="shared" ref="C165:C168" si="46">VLOOKUP(B165,STARTOVKA,2,0)</f>
        <v>GER19960405</v>
      </c>
      <c r="D165" s="64" t="str">
        <f t="shared" ref="D165:D168" si="47">VLOOKUP(B165,STARTOVKA,3,0)</f>
        <v>WITTE Reinhard</v>
      </c>
      <c r="E165" s="65" t="str">
        <f t="shared" ref="E165:E168" si="48">VLOOKUP(B165,STARTOVKA,4,0)</f>
        <v>JUNIOREN SCHWALBE TEAM SACHSEN</v>
      </c>
      <c r="F165" s="63"/>
      <c r="H165" s="259"/>
      <c r="I165" s="259"/>
      <c r="J165" s="259"/>
      <c r="K165" s="259"/>
      <c r="L165" s="223"/>
    </row>
    <row r="166" spans="1:12" s="5" customFormat="1" ht="12.75" customHeight="1" x14ac:dyDescent="0.2">
      <c r="A166" s="264"/>
      <c r="B166" s="63">
        <v>2</v>
      </c>
      <c r="C166" s="63" t="str">
        <f t="shared" si="46"/>
        <v>GER19960829</v>
      </c>
      <c r="D166" s="64" t="str">
        <f t="shared" si="47"/>
        <v>SCHUCHMANN Franz-Leon</v>
      </c>
      <c r="E166" s="65" t="str">
        <f t="shared" si="48"/>
        <v>RSV SONNEBERG</v>
      </c>
      <c r="F166" s="63"/>
      <c r="H166" s="259"/>
      <c r="I166" s="259"/>
      <c r="J166" s="259"/>
      <c r="K166" s="259"/>
      <c r="L166" s="223"/>
    </row>
    <row r="167" spans="1:12" s="5" customFormat="1" ht="12.75" customHeight="1" x14ac:dyDescent="0.2">
      <c r="A167" s="264"/>
      <c r="B167" s="63">
        <v>143</v>
      </c>
      <c r="C167" s="63" t="str">
        <f t="shared" si="46"/>
        <v>CZE19960606</v>
      </c>
      <c r="D167" s="64" t="str">
        <f t="shared" si="47"/>
        <v xml:space="preserve">KOVÁŘ Jan </v>
      </c>
      <c r="E167" s="65" t="str">
        <f t="shared" si="48"/>
        <v xml:space="preserve">MAPEI CYKLO KAŇKOVSKÝ </v>
      </c>
      <c r="F167" s="63"/>
      <c r="H167" s="259"/>
      <c r="I167" s="259"/>
      <c r="J167" s="259"/>
      <c r="K167" s="259"/>
    </row>
    <row r="168" spans="1:12" s="5" customFormat="1" x14ac:dyDescent="0.2">
      <c r="A168" s="264"/>
      <c r="B168" s="63">
        <v>6</v>
      </c>
      <c r="C168" s="63" t="str">
        <f t="shared" si="46"/>
        <v>GER19970811</v>
      </c>
      <c r="D168" s="64" t="str">
        <f t="shared" si="47"/>
        <v>LINTZEL Philip</v>
      </c>
      <c r="E168" s="65" t="str">
        <f t="shared" si="48"/>
        <v>RSC TURBINE ERFURT</v>
      </c>
      <c r="F168" s="63"/>
      <c r="H168" s="259"/>
      <c r="I168" s="259"/>
      <c r="J168" s="259"/>
      <c r="K168" s="259"/>
    </row>
    <row r="169" spans="1:12" s="5" customFormat="1" x14ac:dyDescent="0.2">
      <c r="B169" s="10"/>
      <c r="C169" s="19"/>
      <c r="H169" s="259"/>
      <c r="I169" s="259"/>
      <c r="J169" s="259"/>
      <c r="K169" s="259"/>
    </row>
    <row r="170" spans="1:12" s="5" customFormat="1" ht="12.75" customHeight="1" x14ac:dyDescent="0.2">
      <c r="B170" s="10"/>
      <c r="C170" s="168" t="s">
        <v>533</v>
      </c>
      <c r="D170" s="11"/>
      <c r="E170" s="8"/>
      <c r="H170" s="259"/>
      <c r="I170" s="259"/>
      <c r="J170" s="259"/>
      <c r="K170" s="259"/>
    </row>
    <row r="171" spans="1:12" s="5" customFormat="1" ht="12.75" customHeight="1" x14ac:dyDescent="0.2">
      <c r="A171" s="263" t="s">
        <v>604</v>
      </c>
      <c r="B171" s="63">
        <v>2</v>
      </c>
      <c r="C171" s="63" t="str">
        <f t="shared" ref="C171:C174" si="49">VLOOKUP(B171,STARTOVKA,2,0)</f>
        <v>GER19960829</v>
      </c>
      <c r="D171" s="64" t="str">
        <f t="shared" ref="D171:D174" si="50">VLOOKUP(B171,STARTOVKA,3,0)</f>
        <v>SCHUCHMANN Franz-Leon</v>
      </c>
      <c r="E171" s="65" t="str">
        <f t="shared" ref="E171:E174" si="51">VLOOKUP(B171,STARTOVKA,4,0)</f>
        <v>RSV SONNEBERG</v>
      </c>
      <c r="F171" s="63"/>
      <c r="H171" s="259"/>
      <c r="I171" s="259"/>
      <c r="J171" s="259"/>
      <c r="K171" s="259"/>
    </row>
    <row r="172" spans="1:12" s="5" customFormat="1" ht="12.75" customHeight="1" x14ac:dyDescent="0.2">
      <c r="A172" s="264"/>
      <c r="B172" s="63">
        <v>143</v>
      </c>
      <c r="C172" s="63" t="str">
        <f t="shared" si="49"/>
        <v>CZE19960606</v>
      </c>
      <c r="D172" s="64" t="str">
        <f t="shared" si="50"/>
        <v xml:space="preserve">KOVÁŘ Jan </v>
      </c>
      <c r="E172" s="65" t="str">
        <f t="shared" si="51"/>
        <v xml:space="preserve">MAPEI CYKLO KAŇKOVSKÝ </v>
      </c>
      <c r="F172" s="63"/>
      <c r="H172" s="259"/>
      <c r="I172" s="259"/>
      <c r="J172" s="259"/>
      <c r="K172" s="259"/>
    </row>
    <row r="173" spans="1:12" s="5" customFormat="1" ht="12.75" customHeight="1" x14ac:dyDescent="0.2">
      <c r="A173" s="264"/>
      <c r="B173" s="63">
        <v>12</v>
      </c>
      <c r="C173" s="63" t="str">
        <f t="shared" si="49"/>
        <v>GER19960405</v>
      </c>
      <c r="D173" s="64" t="str">
        <f t="shared" si="50"/>
        <v>WITTE Reinhard</v>
      </c>
      <c r="E173" s="65" t="str">
        <f t="shared" si="51"/>
        <v>JUNIOREN SCHWALBE TEAM SACHSEN</v>
      </c>
      <c r="F173" s="63"/>
      <c r="H173" s="259"/>
      <c r="I173" s="259"/>
      <c r="J173" s="259"/>
      <c r="K173" s="259"/>
    </row>
    <row r="174" spans="1:12" s="5" customFormat="1" x14ac:dyDescent="0.2">
      <c r="A174" s="264"/>
      <c r="B174" s="63">
        <v>134</v>
      </c>
      <c r="C174" s="63" t="str">
        <f t="shared" si="49"/>
        <v>AUT19960910</v>
      </c>
      <c r="D174" s="64" t="str">
        <f t="shared" si="50"/>
        <v>HUBER Marcel</v>
      </c>
      <c r="E174" s="65" t="str">
        <f t="shared" si="51"/>
        <v>RC ARBÖ WELS GOURMETFEIN</v>
      </c>
      <c r="F174" s="63"/>
      <c r="H174" s="259"/>
      <c r="I174" s="259"/>
      <c r="J174" s="259"/>
      <c r="K174" s="259"/>
    </row>
    <row r="176" spans="1:12" ht="6" customHeight="1" x14ac:dyDescent="0.2">
      <c r="A176" s="83"/>
      <c r="B176" s="83"/>
      <c r="C176" s="83"/>
      <c r="D176" s="83"/>
      <c r="E176" s="83"/>
      <c r="F176" s="83"/>
      <c r="G176" s="83"/>
      <c r="H176" s="83"/>
      <c r="I176" s="83"/>
      <c r="J176" s="122"/>
      <c r="K176" s="122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</row>
    <row r="186" spans="1:11" ht="6" customHeight="1" x14ac:dyDescent="0.2">
      <c r="A186" s="83"/>
      <c r="B186" s="83"/>
      <c r="C186" s="83"/>
      <c r="D186" s="83"/>
      <c r="E186" s="83"/>
      <c r="F186" s="83"/>
      <c r="G186" s="83"/>
      <c r="H186" s="83"/>
      <c r="I186" s="83"/>
      <c r="J186" s="122"/>
      <c r="K186" s="122"/>
    </row>
    <row r="187" spans="1:11" ht="11.45" customHeight="1" x14ac:dyDescent="0.2">
      <c r="A187" s="255" t="s">
        <v>44</v>
      </c>
      <c r="B187" s="255"/>
      <c r="C187" s="255"/>
      <c r="D187" s="255"/>
      <c r="E187" s="255"/>
      <c r="F187" s="255"/>
      <c r="G187" s="255"/>
      <c r="H187" s="255"/>
      <c r="I187" s="255"/>
      <c r="J187" s="255"/>
      <c r="K187" s="255"/>
    </row>
  </sheetData>
  <sortState ref="B130:I135">
    <sortCondition ref="B130"/>
  </sortState>
  <mergeCells count="12">
    <mergeCell ref="H147:K160"/>
    <mergeCell ref="H162:K174"/>
    <mergeCell ref="A187:K187"/>
    <mergeCell ref="A5:K5"/>
    <mergeCell ref="A1:K1"/>
    <mergeCell ref="A2:K2"/>
    <mergeCell ref="D3:H3"/>
    <mergeCell ref="A147:A149"/>
    <mergeCell ref="A152:A154"/>
    <mergeCell ref="A159:A162"/>
    <mergeCell ref="A165:A168"/>
    <mergeCell ref="A171:A174"/>
  </mergeCells>
  <phoneticPr fontId="12" type="noConversion"/>
  <conditionalFormatting sqref="K12:K141">
    <cfRule type="cellIs" dxfId="11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218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256" t="str">
        <f>CTRL!B7</f>
        <v>R E G I O N E M   O R L I C K A   L A N Š K R O U N   2 0 1 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250" t="str">
        <f>CTRL!B8</f>
        <v>28. ročník mezinárodního cyklistického závodu juniorů / 28th edition of international cycling race of juniors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251" t="str">
        <f>CTRL!B22</f>
        <v xml:space="preserve">po 1. etapě / after 1st Stage  </v>
      </c>
      <c r="E3" s="251"/>
      <c r="F3" s="251"/>
      <c r="G3" s="251"/>
      <c r="H3" s="251"/>
      <c r="I3" s="49"/>
      <c r="K3" s="2" t="str">
        <f>"Com.no.: 5/" &amp; CTRL!B27</f>
        <v>Com.no.: 5/31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254" t="s">
        <v>130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M10" s="146"/>
      <c r="N10" s="146"/>
      <c r="P10" s="266" t="s">
        <v>19</v>
      </c>
      <c r="Q10" s="266"/>
      <c r="R10" s="266"/>
      <c r="S10" s="266"/>
      <c r="T10" s="265" t="s">
        <v>18</v>
      </c>
      <c r="U10" s="265"/>
      <c r="V10" s="265"/>
      <c r="W10" s="265"/>
      <c r="X10" s="266" t="s">
        <v>17</v>
      </c>
      <c r="Y10" s="266"/>
      <c r="Z10" s="266"/>
      <c r="AA10" s="266"/>
      <c r="AB10" s="265" t="s">
        <v>16</v>
      </c>
      <c r="AC10" s="265"/>
      <c r="AD10" s="265"/>
      <c r="AE10" s="265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ROUND(CTRL!C2/(HOUR($I$12)+(MINUTE($I$12)+SECOND($I$12)/60)/60),2) &amp; " km/h"</f>
        <v>Průměrná rychlost / Average Speed: 41,23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7.7812500000000007E-2</v>
      </c>
      <c r="J12" s="31">
        <f t="shared" ref="J12:J43" si="7">I12-$I$12</f>
        <v>0</v>
      </c>
      <c r="K12" s="31"/>
      <c r="P12" s="36">
        <v>1</v>
      </c>
      <c r="Q12" s="43">
        <v>116</v>
      </c>
      <c r="R12" s="41">
        <v>7.7928240740740742E-2</v>
      </c>
      <c r="S12" s="35">
        <v>1.1574074074074073E-4</v>
      </c>
      <c r="T12" s="37"/>
      <c r="U12" s="44"/>
      <c r="V12" s="45"/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 t="shared" si="0"/>
        <v>GER19960829</v>
      </c>
      <c r="D13" s="64" t="str">
        <f t="shared" si="1"/>
        <v>SCHUCHMANN Franz-Leon</v>
      </c>
      <c r="E13" s="65" t="str">
        <f t="shared" si="2"/>
        <v>RSV SONNEBERG</v>
      </c>
      <c r="F13" s="66" t="str">
        <f t="shared" si="3"/>
        <v>THÜ173330</v>
      </c>
      <c r="G13" s="67" t="str">
        <f t="shared" si="4"/>
        <v>JUNIOR</v>
      </c>
      <c r="H13" s="67" t="str">
        <f t="shared" si="5"/>
        <v>TUR</v>
      </c>
      <c r="I13" s="199">
        <f t="shared" si="6"/>
        <v>7.7997685185185184E-2</v>
      </c>
      <c r="J13" s="31">
        <f t="shared" si="7"/>
        <v>1.8518518518517713E-4</v>
      </c>
      <c r="K13" s="31"/>
      <c r="P13" s="36">
        <v>2</v>
      </c>
      <c r="Q13" s="43">
        <v>2</v>
      </c>
      <c r="R13" s="41">
        <v>7.8067129629629625E-2</v>
      </c>
      <c r="S13" s="35">
        <v>6.9444444444444444E-5</v>
      </c>
      <c r="T13" s="37"/>
      <c r="U13" s="44"/>
      <c r="V13" s="45"/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143</v>
      </c>
      <c r="C14" s="63" t="str">
        <f t="shared" si="0"/>
        <v>CZE19960606</v>
      </c>
      <c r="D14" s="64" t="str">
        <f t="shared" si="1"/>
        <v xml:space="preserve">KOVÁŘ Jan </v>
      </c>
      <c r="E14" s="65" t="str">
        <f t="shared" si="2"/>
        <v xml:space="preserve">MAPEI CYKLO KAŇKOVSKÝ </v>
      </c>
      <c r="F14" s="66">
        <f t="shared" si="3"/>
        <v>12418</v>
      </c>
      <c r="G14" s="67" t="str">
        <f t="shared" si="4"/>
        <v>JUNIOR</v>
      </c>
      <c r="H14" s="67" t="str">
        <f t="shared" si="5"/>
        <v>MAP</v>
      </c>
      <c r="I14" s="199">
        <f t="shared" si="6"/>
        <v>7.8020833333333331E-2</v>
      </c>
      <c r="J14" s="31">
        <f t="shared" si="7"/>
        <v>2.0833333333332427E-4</v>
      </c>
      <c r="K14" s="31"/>
      <c r="P14" s="36">
        <v>3</v>
      </c>
      <c r="Q14" s="43">
        <v>143</v>
      </c>
      <c r="R14" s="41">
        <v>7.8067129629629625E-2</v>
      </c>
      <c r="S14" s="35">
        <v>4.6296296296296294E-5</v>
      </c>
      <c r="T14" s="37"/>
      <c r="U14" s="44"/>
      <c r="V14" s="45"/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93</v>
      </c>
      <c r="C15" s="63" t="str">
        <f t="shared" si="0"/>
        <v>CZE19960424</v>
      </c>
      <c r="D15" s="64" t="str">
        <f t="shared" si="1"/>
        <v xml:space="preserve">GRUBER Pavel </v>
      </c>
      <c r="E15" s="65" t="str">
        <f t="shared" si="2"/>
        <v xml:space="preserve">TJ FAVORIT BRNO </v>
      </c>
      <c r="F15" s="66">
        <f t="shared" si="3"/>
        <v>13075</v>
      </c>
      <c r="G15" s="67" t="str">
        <f t="shared" si="4"/>
        <v>JUNIOR</v>
      </c>
      <c r="H15" s="67" t="str">
        <f t="shared" si="5"/>
        <v>FAV</v>
      </c>
      <c r="I15" s="199">
        <f t="shared" si="6"/>
        <v>7.8067129629629625E-2</v>
      </c>
      <c r="J15" s="31">
        <f t="shared" si="7"/>
        <v>2.5462962962961855E-4</v>
      </c>
      <c r="K15" s="31"/>
      <c r="P15" s="36">
        <v>4</v>
      </c>
      <c r="Q15" s="43">
        <v>93</v>
      </c>
      <c r="R15" s="41">
        <v>7.8067129629629625E-2</v>
      </c>
      <c r="S15" s="35">
        <v>0</v>
      </c>
      <c r="T15" s="37"/>
      <c r="U15" s="44"/>
      <c r="V15" s="45"/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175</v>
      </c>
      <c r="C16" s="63" t="str">
        <f t="shared" si="0"/>
        <v>SVK19960415</v>
      </c>
      <c r="D16" s="64" t="str">
        <f t="shared" si="1"/>
        <v>ZVERKO David</v>
      </c>
      <c r="E16" s="65" t="str">
        <f t="shared" si="2"/>
        <v xml:space="preserve">SLOVAK CYCLING FEDERATION </v>
      </c>
      <c r="F16" s="66">
        <f t="shared" si="3"/>
        <v>5674</v>
      </c>
      <c r="G16" s="67" t="str">
        <f t="shared" si="4"/>
        <v>JUNIOR</v>
      </c>
      <c r="H16" s="67" t="str">
        <f t="shared" si="5"/>
        <v>SVK</v>
      </c>
      <c r="I16" s="199">
        <f t="shared" si="6"/>
        <v>7.8252314814814816E-2</v>
      </c>
      <c r="J16" s="31">
        <f t="shared" si="7"/>
        <v>4.3981481481480955E-4</v>
      </c>
      <c r="K16" s="31"/>
      <c r="P16" s="36">
        <v>16</v>
      </c>
      <c r="Q16" s="43">
        <v>175</v>
      </c>
      <c r="R16" s="41">
        <v>7.8287037037037044E-2</v>
      </c>
      <c r="S16" s="35">
        <v>3.4722222222222222E-5</v>
      </c>
      <c r="T16" s="37"/>
      <c r="U16" s="44"/>
      <c r="V16" s="45"/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132</v>
      </c>
      <c r="C17" s="63" t="str">
        <f t="shared" si="0"/>
        <v>AUT19961021</v>
      </c>
      <c r="D17" s="64" t="str">
        <f t="shared" si="1"/>
        <v>KNAPP Daniel</v>
      </c>
      <c r="E17" s="65" t="str">
        <f t="shared" si="2"/>
        <v>UNION RAIFFEISEN RADTEAM TIROL</v>
      </c>
      <c r="F17" s="66">
        <f t="shared" si="3"/>
        <v>100480</v>
      </c>
      <c r="G17" s="67" t="str">
        <f t="shared" si="4"/>
        <v>JUNIOR</v>
      </c>
      <c r="H17" s="67" t="str">
        <f t="shared" si="5"/>
        <v>RCA</v>
      </c>
      <c r="I17" s="199">
        <f t="shared" si="6"/>
        <v>7.8252314814814816E-2</v>
      </c>
      <c r="J17" s="31">
        <f t="shared" si="7"/>
        <v>4.3981481481480955E-4</v>
      </c>
      <c r="K17" s="31"/>
      <c r="P17" s="36">
        <v>64</v>
      </c>
      <c r="Q17" s="43">
        <v>132</v>
      </c>
      <c r="R17" s="41">
        <v>7.8287037037037044E-2</v>
      </c>
      <c r="S17" s="35">
        <v>3.4722222222222222E-5</v>
      </c>
      <c r="T17" s="37"/>
      <c r="U17" s="44"/>
      <c r="V17" s="45"/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150</v>
      </c>
      <c r="C18" s="63" t="str">
        <f t="shared" si="0"/>
        <v>CZE19970926</v>
      </c>
      <c r="D18" s="64" t="str">
        <f t="shared" si="1"/>
        <v xml:space="preserve">BRÁZDA Michal </v>
      </c>
      <c r="E18" s="65" t="str">
        <f t="shared" si="2"/>
        <v xml:space="preserve">MAPEI CYKLO KAŇKOVSKÝ </v>
      </c>
      <c r="F18" s="66">
        <f t="shared" si="3"/>
        <v>8547</v>
      </c>
      <c r="G18" s="67" t="str">
        <f t="shared" si="4"/>
        <v>JUNIOR*</v>
      </c>
      <c r="H18" s="67" t="str">
        <f t="shared" si="5"/>
        <v>MAP</v>
      </c>
      <c r="I18" s="199">
        <f t="shared" si="6"/>
        <v>7.8263888888888897E-2</v>
      </c>
      <c r="J18" s="31">
        <f t="shared" si="7"/>
        <v>4.5138888888889006E-4</v>
      </c>
      <c r="K18" s="31"/>
      <c r="P18" s="36">
        <v>10</v>
      </c>
      <c r="Q18" s="43">
        <v>150</v>
      </c>
      <c r="R18" s="41">
        <v>7.8287037037037044E-2</v>
      </c>
      <c r="S18" s="35">
        <v>2.3148148148148147E-5</v>
      </c>
      <c r="T18" s="37"/>
      <c r="U18" s="44"/>
      <c r="V18" s="45"/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115</v>
      </c>
      <c r="C19" s="63" t="str">
        <f t="shared" si="0"/>
        <v>GER19961029</v>
      </c>
      <c r="D19" s="64" t="str">
        <f t="shared" si="1"/>
        <v>KOCH Chrisitan</v>
      </c>
      <c r="E19" s="65" t="str">
        <f t="shared" si="2"/>
        <v>TEAM BRANDENBURG - RSC COTTBUS</v>
      </c>
      <c r="F19" s="66" t="str">
        <f t="shared" si="3"/>
        <v>043833-11</v>
      </c>
      <c r="G19" s="67" t="str">
        <f t="shared" si="4"/>
        <v>JUNIOR</v>
      </c>
      <c r="H19" s="67" t="str">
        <f t="shared" si="5"/>
        <v>COT</v>
      </c>
      <c r="I19" s="199">
        <f t="shared" si="6"/>
        <v>7.8263888888888897E-2</v>
      </c>
      <c r="J19" s="31">
        <f t="shared" si="7"/>
        <v>4.5138888888889006E-4</v>
      </c>
      <c r="K19" s="31"/>
      <c r="P19" s="36">
        <v>33</v>
      </c>
      <c r="Q19" s="43">
        <v>115</v>
      </c>
      <c r="R19" s="41">
        <v>7.8287037037037044E-2</v>
      </c>
      <c r="S19" s="35">
        <v>2.3148148148148147E-5</v>
      </c>
      <c r="T19" s="37"/>
      <c r="U19" s="44"/>
      <c r="V19" s="45"/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151</v>
      </c>
      <c r="C20" s="63" t="str">
        <f t="shared" si="0"/>
        <v>CZE19960501</v>
      </c>
      <c r="D20" s="64" t="str">
        <f t="shared" si="1"/>
        <v>TOMAN Vojtěch</v>
      </c>
      <c r="E20" s="65" t="str">
        <f t="shared" si="2"/>
        <v>STEVENS ZNOJMO</v>
      </c>
      <c r="F20" s="66">
        <f t="shared" si="3"/>
        <v>9096</v>
      </c>
      <c r="G20" s="67" t="str">
        <f t="shared" si="4"/>
        <v>JUNIOR</v>
      </c>
      <c r="H20" s="67" t="str">
        <f t="shared" si="5"/>
        <v>SKC</v>
      </c>
      <c r="I20" s="199">
        <f t="shared" si="6"/>
        <v>7.8275462962962963E-2</v>
      </c>
      <c r="J20" s="31">
        <f t="shared" si="7"/>
        <v>4.6296296296295669E-4</v>
      </c>
      <c r="K20" s="31"/>
      <c r="P20" s="36">
        <v>6</v>
      </c>
      <c r="Q20" s="43">
        <v>151</v>
      </c>
      <c r="R20" s="41">
        <v>7.8287037037037044E-2</v>
      </c>
      <c r="S20" s="35">
        <v>1.1574074074074073E-5</v>
      </c>
      <c r="T20" s="37"/>
      <c r="U20" s="44"/>
      <c r="V20" s="45"/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12</v>
      </c>
      <c r="C21" s="63" t="str">
        <f t="shared" si="0"/>
        <v>GER19960405</v>
      </c>
      <c r="D21" s="64" t="str">
        <f t="shared" si="1"/>
        <v>WITTE Reinhard</v>
      </c>
      <c r="E21" s="65" t="str">
        <f t="shared" si="2"/>
        <v>JUNIOREN SCHWALBE TEAM SACHSEN</v>
      </c>
      <c r="F21" s="66" t="str">
        <f t="shared" si="3"/>
        <v>SAC 141671</v>
      </c>
      <c r="G21" s="67" t="str">
        <f t="shared" si="4"/>
        <v>JUNIOR</v>
      </c>
      <c r="H21" s="67" t="str">
        <f t="shared" si="5"/>
        <v>SCW</v>
      </c>
      <c r="I21" s="199">
        <f t="shared" si="6"/>
        <v>7.8275462962962963E-2</v>
      </c>
      <c r="J21" s="31">
        <f t="shared" si="7"/>
        <v>4.6296296296295669E-4</v>
      </c>
      <c r="K21" s="31"/>
      <c r="P21" s="36">
        <v>42</v>
      </c>
      <c r="Q21" s="43">
        <v>12</v>
      </c>
      <c r="R21" s="41">
        <v>7.8287037037037044E-2</v>
      </c>
      <c r="S21" s="35">
        <v>1.1574074074074073E-5</v>
      </c>
      <c r="T21" s="37"/>
      <c r="U21" s="44"/>
      <c r="V21" s="45"/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113</v>
      </c>
      <c r="C22" s="63" t="str">
        <f t="shared" si="0"/>
        <v>GER19961002</v>
      </c>
      <c r="D22" s="64" t="str">
        <f t="shared" si="1"/>
        <v>ROHDE Louis</v>
      </c>
      <c r="E22" s="65" t="str">
        <f t="shared" si="2"/>
        <v>TEAM BRANDENBURG - RSC COTTBUS</v>
      </c>
      <c r="F22" s="66" t="str">
        <f t="shared" si="3"/>
        <v>062094-11</v>
      </c>
      <c r="G22" s="67" t="str">
        <f t="shared" si="4"/>
        <v>JUNIOR</v>
      </c>
      <c r="H22" s="67" t="str">
        <f t="shared" si="5"/>
        <v>COT</v>
      </c>
      <c r="I22" s="199">
        <f t="shared" si="6"/>
        <v>7.8287037037037044E-2</v>
      </c>
      <c r="J22" s="31">
        <f t="shared" si="7"/>
        <v>4.745370370370372E-4</v>
      </c>
      <c r="K22" s="31"/>
      <c r="P22" s="36">
        <v>5</v>
      </c>
      <c r="Q22" s="43">
        <v>113</v>
      </c>
      <c r="R22" s="41">
        <v>7.8287037037037044E-2</v>
      </c>
      <c r="S22" s="35">
        <v>0</v>
      </c>
      <c r="T22" s="37"/>
      <c r="U22" s="44"/>
      <c r="V22" s="45"/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111</v>
      </c>
      <c r="C23" s="63" t="str">
        <f t="shared" si="0"/>
        <v>GER19960410</v>
      </c>
      <c r="D23" s="64" t="str">
        <f t="shared" si="1"/>
        <v>BECKER Alexander</v>
      </c>
      <c r="E23" s="65" t="str">
        <f t="shared" si="2"/>
        <v>TEAM BRANDENBURG - RSC COTTBUS</v>
      </c>
      <c r="F23" s="66" t="str">
        <f t="shared" si="3"/>
        <v>042439-11</v>
      </c>
      <c r="G23" s="67" t="str">
        <f t="shared" si="4"/>
        <v>JUNIOR</v>
      </c>
      <c r="H23" s="67" t="str">
        <f t="shared" si="5"/>
        <v>COT</v>
      </c>
      <c r="I23" s="199">
        <f t="shared" si="6"/>
        <v>7.8287037037037044E-2</v>
      </c>
      <c r="J23" s="31">
        <f t="shared" si="7"/>
        <v>4.745370370370372E-4</v>
      </c>
      <c r="K23" s="31"/>
      <c r="P23" s="36">
        <v>7</v>
      </c>
      <c r="Q23" s="43">
        <v>111</v>
      </c>
      <c r="R23" s="41">
        <v>7.8287037037037044E-2</v>
      </c>
      <c r="S23" s="35">
        <v>0</v>
      </c>
      <c r="T23" s="37"/>
      <c r="U23" s="44"/>
      <c r="V23" s="45"/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182</v>
      </c>
      <c r="C24" s="63" t="str">
        <f t="shared" si="0"/>
        <v>AUT19960709</v>
      </c>
      <c r="D24" s="64" t="str">
        <f t="shared" si="1"/>
        <v>KOPFAUF Markus</v>
      </c>
      <c r="E24" s="65" t="str">
        <f t="shared" si="2"/>
        <v xml:space="preserve">LRV STEIERMARK </v>
      </c>
      <c r="F24" s="66">
        <f t="shared" si="3"/>
        <v>100827</v>
      </c>
      <c r="G24" s="67" t="str">
        <f t="shared" si="4"/>
        <v>JUNIOR</v>
      </c>
      <c r="H24" s="67" t="str">
        <f t="shared" si="5"/>
        <v>LRV</v>
      </c>
      <c r="I24" s="199">
        <f t="shared" si="6"/>
        <v>7.8287037037037044E-2</v>
      </c>
      <c r="J24" s="31">
        <f t="shared" si="7"/>
        <v>4.745370370370372E-4</v>
      </c>
      <c r="K24" s="31"/>
      <c r="P24" s="36">
        <v>8</v>
      </c>
      <c r="Q24" s="43">
        <v>182</v>
      </c>
      <c r="R24" s="41">
        <v>7.8287037037037044E-2</v>
      </c>
      <c r="S24" s="35">
        <v>0</v>
      </c>
      <c r="T24" s="37"/>
      <c r="U24" s="44"/>
      <c r="V24" s="45"/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117</v>
      </c>
      <c r="C25" s="63" t="str">
        <f t="shared" si="0"/>
        <v>GER19971022</v>
      </c>
      <c r="D25" s="64" t="str">
        <f t="shared" si="1"/>
        <v>KANTER Max</v>
      </c>
      <c r="E25" s="65" t="str">
        <f t="shared" si="2"/>
        <v>TEAM BRANDENBURG - RSC COTTBUS</v>
      </c>
      <c r="F25" s="66" t="str">
        <f t="shared" si="3"/>
        <v>044005-11</v>
      </c>
      <c r="G25" s="67" t="str">
        <f t="shared" si="4"/>
        <v>JUNIOR*</v>
      </c>
      <c r="H25" s="67" t="str">
        <f t="shared" si="5"/>
        <v>COT</v>
      </c>
      <c r="I25" s="199">
        <f t="shared" si="6"/>
        <v>7.8287037037037044E-2</v>
      </c>
      <c r="J25" s="31">
        <f t="shared" si="7"/>
        <v>4.745370370370372E-4</v>
      </c>
      <c r="K25" s="31"/>
      <c r="P25" s="36">
        <v>9</v>
      </c>
      <c r="Q25" s="43">
        <v>117</v>
      </c>
      <c r="R25" s="41">
        <v>7.8287037037037044E-2</v>
      </c>
      <c r="S25" s="35">
        <v>0</v>
      </c>
      <c r="T25" s="37"/>
      <c r="U25" s="44"/>
      <c r="V25" s="45"/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83</v>
      </c>
      <c r="C26" s="63" t="str">
        <f t="shared" si="0"/>
        <v>CZE19960724</v>
      </c>
      <c r="D26" s="64" t="str">
        <f t="shared" si="1"/>
        <v xml:space="preserve">BECHYNĚ Matěj </v>
      </c>
      <c r="E26" s="65" t="str">
        <f t="shared" si="2"/>
        <v>VZW TIELTSE RENNERSCLUB - JIELKER GELDHOF</v>
      </c>
      <c r="F26" s="66">
        <f t="shared" si="3"/>
        <v>14315</v>
      </c>
      <c r="G26" s="67" t="str">
        <f t="shared" si="4"/>
        <v>JUNIOR</v>
      </c>
      <c r="H26" s="67" t="str">
        <f t="shared" si="5"/>
        <v>KOV</v>
      </c>
      <c r="I26" s="199">
        <f t="shared" si="6"/>
        <v>7.8287037037037044E-2</v>
      </c>
      <c r="J26" s="31">
        <f t="shared" si="7"/>
        <v>4.745370370370372E-4</v>
      </c>
      <c r="K26" s="31"/>
      <c r="P26" s="36">
        <v>11</v>
      </c>
      <c r="Q26" s="43">
        <v>83</v>
      </c>
      <c r="R26" s="41">
        <v>7.8287037037037044E-2</v>
      </c>
      <c r="S26" s="35">
        <v>0</v>
      </c>
      <c r="T26" s="37"/>
      <c r="U26" s="44"/>
      <c r="V26" s="45"/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165</v>
      </c>
      <c r="C27" s="63" t="str">
        <f t="shared" si="0"/>
        <v>RUS19960517</v>
      </c>
      <c r="D27" s="64" t="str">
        <f t="shared" si="1"/>
        <v xml:space="preserve">MARTYSHEV Aleksandr </v>
      </c>
      <c r="E27" s="65" t="str">
        <f t="shared" si="2"/>
        <v>RUSSIAN CYCLING FEDERATION</v>
      </c>
      <c r="F27" s="66" t="str">
        <f t="shared" si="3"/>
        <v>B0270</v>
      </c>
      <c r="G27" s="67" t="str">
        <f t="shared" si="4"/>
        <v>JUNIOR</v>
      </c>
      <c r="H27" s="67" t="str">
        <f t="shared" si="5"/>
        <v>RUS</v>
      </c>
      <c r="I27" s="199">
        <f t="shared" si="6"/>
        <v>7.8287037037037044E-2</v>
      </c>
      <c r="J27" s="31">
        <f t="shared" si="7"/>
        <v>4.745370370370372E-4</v>
      </c>
      <c r="K27" s="31"/>
      <c r="P27" s="36">
        <v>12</v>
      </c>
      <c r="Q27" s="43">
        <v>165</v>
      </c>
      <c r="R27" s="41">
        <v>7.8287037037037044E-2</v>
      </c>
      <c r="S27" s="35">
        <v>0</v>
      </c>
      <c r="T27" s="37"/>
      <c r="U27" s="44"/>
      <c r="V27" s="45"/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137</v>
      </c>
      <c r="C28" s="63" t="str">
        <f t="shared" si="0"/>
        <v>AUT19960713</v>
      </c>
      <c r="D28" s="64" t="str">
        <f t="shared" si="1"/>
        <v>PÖPPL Tobias</v>
      </c>
      <c r="E28" s="65" t="str">
        <f t="shared" si="2"/>
        <v>RC WALDING</v>
      </c>
      <c r="F28" s="66">
        <f t="shared" si="3"/>
        <v>100289</v>
      </c>
      <c r="G28" s="67" t="str">
        <f t="shared" si="4"/>
        <v>JUNIOR</v>
      </c>
      <c r="H28" s="67" t="str">
        <f t="shared" si="5"/>
        <v>RCA</v>
      </c>
      <c r="I28" s="199">
        <f t="shared" si="6"/>
        <v>7.8287037037037044E-2</v>
      </c>
      <c r="J28" s="31">
        <f t="shared" si="7"/>
        <v>4.745370370370372E-4</v>
      </c>
      <c r="K28" s="31"/>
      <c r="P28" s="36">
        <v>13</v>
      </c>
      <c r="Q28" s="43">
        <v>137</v>
      </c>
      <c r="R28" s="41">
        <v>7.8287037037037044E-2</v>
      </c>
      <c r="S28" s="35">
        <v>0</v>
      </c>
      <c r="T28" s="37"/>
      <c r="U28" s="44"/>
      <c r="V28" s="45"/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7</v>
      </c>
      <c r="C29" s="63" t="str">
        <f t="shared" si="0"/>
        <v>GER19970419</v>
      </c>
      <c r="D29" s="64" t="str">
        <f t="shared" si="1"/>
        <v>BURCHARDT Karl</v>
      </c>
      <c r="E29" s="65" t="str">
        <f t="shared" si="2"/>
        <v>RSC TURBINE ERFURT</v>
      </c>
      <c r="F29" s="66" t="str">
        <f t="shared" si="3"/>
        <v>THÜ173418</v>
      </c>
      <c r="G29" s="67" t="str">
        <f t="shared" si="4"/>
        <v>JUNIOR*</v>
      </c>
      <c r="H29" s="67" t="str">
        <f t="shared" si="5"/>
        <v>TUR</v>
      </c>
      <c r="I29" s="199">
        <f t="shared" si="6"/>
        <v>7.8287037037037044E-2</v>
      </c>
      <c r="J29" s="31">
        <f t="shared" si="7"/>
        <v>4.745370370370372E-4</v>
      </c>
      <c r="K29" s="31"/>
      <c r="P29" s="36">
        <v>14</v>
      </c>
      <c r="Q29" s="43">
        <v>7</v>
      </c>
      <c r="R29" s="41">
        <v>7.8287037037037044E-2</v>
      </c>
      <c r="S29" s="35">
        <v>0</v>
      </c>
      <c r="T29" s="37"/>
      <c r="U29" s="44"/>
      <c r="V29" s="45"/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85</v>
      </c>
      <c r="C30" s="63" t="str">
        <f t="shared" si="0"/>
        <v>CZE19970804</v>
      </c>
      <c r="D30" s="64" t="str">
        <f t="shared" si="1"/>
        <v xml:space="preserve">SPUDIL Martin </v>
      </c>
      <c r="E30" s="65" t="str">
        <f t="shared" si="2"/>
        <v xml:space="preserve">SP KOLO LOAP SPECIALIZED </v>
      </c>
      <c r="F30" s="66">
        <f t="shared" si="3"/>
        <v>10880</v>
      </c>
      <c r="G30" s="67" t="str">
        <f t="shared" si="4"/>
        <v>JUNIOR*</v>
      </c>
      <c r="H30" s="67" t="str">
        <f t="shared" si="5"/>
        <v>KOV</v>
      </c>
      <c r="I30" s="199">
        <f t="shared" si="6"/>
        <v>7.8287037037037044E-2</v>
      </c>
      <c r="J30" s="31">
        <f t="shared" si="7"/>
        <v>4.745370370370372E-4</v>
      </c>
      <c r="K30" s="31"/>
      <c r="P30" s="36">
        <v>15</v>
      </c>
      <c r="Q30" s="43">
        <v>85</v>
      </c>
      <c r="R30" s="41">
        <v>7.8287037037037044E-2</v>
      </c>
      <c r="S30" s="35">
        <v>0</v>
      </c>
      <c r="T30" s="37"/>
      <c r="U30" s="44"/>
      <c r="V30" s="45"/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147</v>
      </c>
      <c r="C31" s="63" t="str">
        <f t="shared" si="0"/>
        <v>CZE19960618</v>
      </c>
      <c r="D31" s="64" t="str">
        <f t="shared" si="1"/>
        <v xml:space="preserve">PETRUŠ Jiří </v>
      </c>
      <c r="E31" s="65" t="str">
        <f t="shared" si="2"/>
        <v xml:space="preserve">MAPEI CYKLO KAŇKOVSKÝ </v>
      </c>
      <c r="F31" s="66">
        <f t="shared" si="3"/>
        <v>12841</v>
      </c>
      <c r="G31" s="67" t="str">
        <f t="shared" si="4"/>
        <v>JUNIOR</v>
      </c>
      <c r="H31" s="67" t="str">
        <f t="shared" si="5"/>
        <v>MAP</v>
      </c>
      <c r="I31" s="199">
        <f t="shared" si="6"/>
        <v>7.8287037037037044E-2</v>
      </c>
      <c r="J31" s="31">
        <f t="shared" si="7"/>
        <v>4.745370370370372E-4</v>
      </c>
      <c r="K31" s="31"/>
      <c r="P31" s="36">
        <v>17</v>
      </c>
      <c r="Q31" s="43">
        <v>147</v>
      </c>
      <c r="R31" s="41">
        <v>7.8287037037037044E-2</v>
      </c>
      <c r="S31" s="35">
        <v>0</v>
      </c>
      <c r="T31" s="37"/>
      <c r="U31" s="44"/>
      <c r="V31" s="45"/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161</v>
      </c>
      <c r="C32" s="63" t="str">
        <f t="shared" si="0"/>
        <v>RUS19970210</v>
      </c>
      <c r="D32" s="64" t="str">
        <f t="shared" si="1"/>
        <v>GRISHIN Maksim</v>
      </c>
      <c r="E32" s="65" t="str">
        <f t="shared" si="2"/>
        <v>RUSSIAN CYCLING FEDERATION</v>
      </c>
      <c r="F32" s="66" t="str">
        <f t="shared" si="3"/>
        <v>B0280</v>
      </c>
      <c r="G32" s="67" t="str">
        <f t="shared" si="4"/>
        <v>JUNIOR*</v>
      </c>
      <c r="H32" s="67" t="str">
        <f t="shared" si="5"/>
        <v>RUS</v>
      </c>
      <c r="I32" s="199">
        <f t="shared" si="6"/>
        <v>7.8287037037037044E-2</v>
      </c>
      <c r="J32" s="31">
        <f t="shared" si="7"/>
        <v>4.745370370370372E-4</v>
      </c>
      <c r="K32" s="31"/>
      <c r="P32" s="36">
        <v>18</v>
      </c>
      <c r="Q32" s="43">
        <v>161</v>
      </c>
      <c r="R32" s="41">
        <v>7.8287037037037044E-2</v>
      </c>
      <c r="S32" s="35">
        <v>0</v>
      </c>
      <c r="T32" s="37"/>
      <c r="U32" s="44"/>
      <c r="V32" s="45"/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199">
        <f t="shared" si="6"/>
        <v>7.8287037037037044E-2</v>
      </c>
      <c r="J33" s="31">
        <f t="shared" si="7"/>
        <v>4.745370370370372E-4</v>
      </c>
      <c r="K33" s="31"/>
      <c r="P33" s="36">
        <v>19</v>
      </c>
      <c r="Q33" s="43">
        <v>5</v>
      </c>
      <c r="R33" s="41">
        <v>7.8287037037037044E-2</v>
      </c>
      <c r="S33" s="35">
        <v>0</v>
      </c>
      <c r="T33" s="37"/>
      <c r="U33" s="44"/>
      <c r="V33" s="45"/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101</v>
      </c>
      <c r="C34" s="63" t="str">
        <f t="shared" si="0"/>
        <v>CZE19970829</v>
      </c>
      <c r="D34" s="64" t="str">
        <f t="shared" si="1"/>
        <v xml:space="preserve">BAŘTIPÁN Josef </v>
      </c>
      <c r="E34" s="65" t="str">
        <f t="shared" si="2"/>
        <v xml:space="preserve">TJ STADION LOUNY </v>
      </c>
      <c r="F34" s="66">
        <f t="shared" si="3"/>
        <v>9818</v>
      </c>
      <c r="G34" s="67" t="str">
        <f t="shared" si="4"/>
        <v>JUNIOR*</v>
      </c>
      <c r="H34" s="67" t="str">
        <f t="shared" si="5"/>
        <v>LOU</v>
      </c>
      <c r="I34" s="199">
        <f t="shared" si="6"/>
        <v>7.8287037037037044E-2</v>
      </c>
      <c r="J34" s="31">
        <f t="shared" si="7"/>
        <v>4.745370370370372E-4</v>
      </c>
      <c r="K34" s="31"/>
      <c r="P34" s="36">
        <v>20</v>
      </c>
      <c r="Q34" s="43">
        <v>101</v>
      </c>
      <c r="R34" s="41">
        <v>7.8287037037037044E-2</v>
      </c>
      <c r="S34" s="35">
        <v>0</v>
      </c>
      <c r="T34" s="37"/>
      <c r="U34" s="44"/>
      <c r="V34" s="45"/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124</v>
      </c>
      <c r="C35" s="63" t="str">
        <f t="shared" si="0"/>
        <v>CZE19970613</v>
      </c>
      <c r="D35" s="64" t="str">
        <f t="shared" si="1"/>
        <v xml:space="preserve">ŠÁNA Jiří </v>
      </c>
      <c r="E35" s="65" t="str">
        <f t="shared" si="2"/>
        <v xml:space="preserve">SKC TUFO PROSTĚJOV </v>
      </c>
      <c r="F35" s="66">
        <f t="shared" si="3"/>
        <v>8743</v>
      </c>
      <c r="G35" s="67" t="str">
        <f t="shared" si="4"/>
        <v>JUNIOR*</v>
      </c>
      <c r="H35" s="67" t="str">
        <f t="shared" si="5"/>
        <v>SKC</v>
      </c>
      <c r="I35" s="199">
        <f t="shared" si="6"/>
        <v>7.8287037037037044E-2</v>
      </c>
      <c r="J35" s="31">
        <f t="shared" si="7"/>
        <v>4.745370370370372E-4</v>
      </c>
      <c r="K35" s="31"/>
      <c r="P35" s="36">
        <v>21</v>
      </c>
      <c r="Q35" s="43">
        <v>124</v>
      </c>
      <c r="R35" s="41">
        <v>7.8287037037037044E-2</v>
      </c>
      <c r="S35" s="35">
        <v>0</v>
      </c>
      <c r="T35" s="37"/>
      <c r="U35" s="44"/>
      <c r="V35" s="45"/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171</v>
      </c>
      <c r="C36" s="63" t="str">
        <f t="shared" si="0"/>
        <v>SVK19970301</v>
      </c>
      <c r="D36" s="64" t="str">
        <f t="shared" si="1"/>
        <v>KNIHA Ladislav</v>
      </c>
      <c r="E36" s="65" t="str">
        <f t="shared" si="2"/>
        <v xml:space="preserve">SLOVAK CYCLING FEDERATION </v>
      </c>
      <c r="F36" s="66">
        <f t="shared" si="3"/>
        <v>6788</v>
      </c>
      <c r="G36" s="67" t="str">
        <f t="shared" si="4"/>
        <v>JUNIOR*</v>
      </c>
      <c r="H36" s="67" t="str">
        <f t="shared" si="5"/>
        <v>SVK</v>
      </c>
      <c r="I36" s="199">
        <f t="shared" si="6"/>
        <v>7.8287037037037044E-2</v>
      </c>
      <c r="J36" s="31">
        <f t="shared" si="7"/>
        <v>4.745370370370372E-4</v>
      </c>
      <c r="K36" s="31"/>
      <c r="P36" s="36">
        <v>22</v>
      </c>
      <c r="Q36" s="43">
        <v>171</v>
      </c>
      <c r="R36" s="41">
        <v>7.8287037037037044E-2</v>
      </c>
      <c r="S36" s="35">
        <v>0</v>
      </c>
      <c r="T36" s="37"/>
      <c r="U36" s="44"/>
      <c r="V36" s="45"/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106</v>
      </c>
      <c r="C37" s="63" t="str">
        <f t="shared" si="0"/>
        <v>CZE19970109</v>
      </c>
      <c r="D37" s="64" t="str">
        <f t="shared" si="1"/>
        <v xml:space="preserve">SVATEK Miroslav </v>
      </c>
      <c r="E37" s="65" t="str">
        <f t="shared" si="2"/>
        <v xml:space="preserve">PROFI SPORT CHEB </v>
      </c>
      <c r="F37" s="66">
        <f t="shared" si="3"/>
        <v>9623</v>
      </c>
      <c r="G37" s="67" t="str">
        <f t="shared" si="4"/>
        <v>JUNIOR*</v>
      </c>
      <c r="H37" s="67" t="str">
        <f t="shared" si="5"/>
        <v>LOU</v>
      </c>
      <c r="I37" s="199">
        <f t="shared" si="6"/>
        <v>7.8287037037037044E-2</v>
      </c>
      <c r="J37" s="31">
        <f t="shared" si="7"/>
        <v>4.745370370370372E-4</v>
      </c>
      <c r="K37" s="31"/>
      <c r="P37" s="36">
        <v>23</v>
      </c>
      <c r="Q37" s="43">
        <v>106</v>
      </c>
      <c r="R37" s="41">
        <v>7.8287037037037044E-2</v>
      </c>
      <c r="S37" s="35">
        <v>0</v>
      </c>
      <c r="T37" s="37"/>
      <c r="U37" s="44"/>
      <c r="V37" s="45"/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185</v>
      </c>
      <c r="C38" s="63" t="str">
        <f t="shared" si="0"/>
        <v>AUT19960302</v>
      </c>
      <c r="D38" s="64" t="str">
        <f t="shared" si="1"/>
        <v>TAFERNER Stefan</v>
      </c>
      <c r="E38" s="65" t="str">
        <f t="shared" si="2"/>
        <v xml:space="preserve">LRV STEIERMARK </v>
      </c>
      <c r="F38" s="66">
        <f t="shared" si="3"/>
        <v>100831</v>
      </c>
      <c r="G38" s="67" t="str">
        <f t="shared" si="4"/>
        <v>JUNIOR</v>
      </c>
      <c r="H38" s="67" t="str">
        <f t="shared" si="5"/>
        <v>LRV</v>
      </c>
      <c r="I38" s="199">
        <f t="shared" si="6"/>
        <v>7.8287037037037044E-2</v>
      </c>
      <c r="J38" s="31">
        <f t="shared" si="7"/>
        <v>4.745370370370372E-4</v>
      </c>
      <c r="K38" s="31"/>
      <c r="P38" s="36">
        <v>24</v>
      </c>
      <c r="Q38" s="43">
        <v>185</v>
      </c>
      <c r="R38" s="41">
        <v>7.8287037037037044E-2</v>
      </c>
      <c r="S38" s="35">
        <v>0</v>
      </c>
      <c r="T38" s="37"/>
      <c r="U38" s="44"/>
      <c r="V38" s="45"/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173</v>
      </c>
      <c r="C39" s="63" t="str">
        <f t="shared" si="0"/>
        <v>SVK19970117</v>
      </c>
      <c r="D39" s="64" t="str">
        <f t="shared" si="1"/>
        <v>PORUBAN Dominik</v>
      </c>
      <c r="E39" s="65" t="str">
        <f t="shared" si="2"/>
        <v xml:space="preserve">SLOVAK CYCLING FEDERATION </v>
      </c>
      <c r="F39" s="66">
        <f t="shared" si="3"/>
        <v>6477</v>
      </c>
      <c r="G39" s="67" t="str">
        <f t="shared" si="4"/>
        <v>JUNIOR*</v>
      </c>
      <c r="H39" s="67" t="str">
        <f t="shared" si="5"/>
        <v>SVK</v>
      </c>
      <c r="I39" s="199">
        <f t="shared" si="6"/>
        <v>7.8287037037037044E-2</v>
      </c>
      <c r="J39" s="31">
        <f t="shared" si="7"/>
        <v>4.745370370370372E-4</v>
      </c>
      <c r="K39" s="31"/>
      <c r="P39" s="36">
        <v>25</v>
      </c>
      <c r="Q39" s="43">
        <v>173</v>
      </c>
      <c r="R39" s="41">
        <v>7.8287037037037044E-2</v>
      </c>
      <c r="S39" s="35">
        <v>0</v>
      </c>
      <c r="T39" s="37"/>
      <c r="U39" s="44"/>
      <c r="V39" s="45"/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166</v>
      </c>
      <c r="C40" s="63" t="str">
        <f t="shared" si="0"/>
        <v>RUS19960101</v>
      </c>
      <c r="D40" s="64" t="str">
        <f t="shared" si="1"/>
        <v xml:space="preserve">BEZDENEZHNYKH Vadim </v>
      </c>
      <c r="E40" s="65" t="str">
        <f t="shared" si="2"/>
        <v>RUSSIAN CYCLING FEDERATION</v>
      </c>
      <c r="F40" s="66" t="str">
        <f t="shared" si="3"/>
        <v>B0271</v>
      </c>
      <c r="G40" s="67" t="str">
        <f t="shared" si="4"/>
        <v>JUNIOR</v>
      </c>
      <c r="H40" s="67" t="str">
        <f t="shared" si="5"/>
        <v>RUS</v>
      </c>
      <c r="I40" s="199">
        <f t="shared" si="6"/>
        <v>7.8287037037037044E-2</v>
      </c>
      <c r="J40" s="31">
        <f t="shared" si="7"/>
        <v>4.745370370370372E-4</v>
      </c>
      <c r="K40" s="31"/>
      <c r="P40" s="36">
        <v>26</v>
      </c>
      <c r="Q40" s="43">
        <v>166</v>
      </c>
      <c r="R40" s="41">
        <v>7.8287037037037044E-2</v>
      </c>
      <c r="S40" s="35">
        <v>0</v>
      </c>
      <c r="T40" s="37"/>
      <c r="U40" s="44"/>
      <c r="V40" s="45"/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3</v>
      </c>
      <c r="C41" s="63" t="str">
        <f t="shared" si="0"/>
        <v>GER19970102</v>
      </c>
      <c r="D41" s="64" t="str">
        <f t="shared" si="1"/>
        <v>ZEISE Paul</v>
      </c>
      <c r="E41" s="65" t="str">
        <f t="shared" si="2"/>
        <v>RSC TURBINE ERFURT</v>
      </c>
      <c r="F41" s="66" t="str">
        <f t="shared" si="3"/>
        <v>THÜ173430</v>
      </c>
      <c r="G41" s="67" t="str">
        <f t="shared" si="4"/>
        <v>JUNIOR*</v>
      </c>
      <c r="H41" s="67" t="str">
        <f t="shared" si="5"/>
        <v>TUR</v>
      </c>
      <c r="I41" s="199">
        <f t="shared" si="6"/>
        <v>7.8287037037037044E-2</v>
      </c>
      <c r="J41" s="31">
        <f t="shared" si="7"/>
        <v>4.745370370370372E-4</v>
      </c>
      <c r="K41" s="31"/>
      <c r="P41" s="36">
        <v>27</v>
      </c>
      <c r="Q41" s="43">
        <v>3</v>
      </c>
      <c r="R41" s="41">
        <v>7.8287037037037044E-2</v>
      </c>
      <c r="S41" s="35">
        <v>0</v>
      </c>
      <c r="T41" s="37"/>
      <c r="U41" s="44"/>
      <c r="V41" s="45"/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34</v>
      </c>
      <c r="C42" s="63" t="str">
        <f t="shared" si="0"/>
        <v>CZE19960513</v>
      </c>
      <c r="D42" s="64" t="str">
        <f t="shared" si="1"/>
        <v xml:space="preserve">SCHUBERT Štěpán </v>
      </c>
      <c r="E42" s="65" t="str">
        <f t="shared" si="2"/>
        <v xml:space="preserve">REMERX MERIDA TEAM JUNIOR </v>
      </c>
      <c r="F42" s="66">
        <f t="shared" si="3"/>
        <v>19574</v>
      </c>
      <c r="G42" s="67" t="str">
        <f t="shared" si="4"/>
        <v>JUNIOR</v>
      </c>
      <c r="H42" s="67" t="str">
        <f t="shared" si="5"/>
        <v>REM</v>
      </c>
      <c r="I42" s="199">
        <f t="shared" si="6"/>
        <v>7.8287037037037044E-2</v>
      </c>
      <c r="J42" s="31">
        <f t="shared" si="7"/>
        <v>4.745370370370372E-4</v>
      </c>
      <c r="K42" s="31"/>
      <c r="P42" s="36">
        <v>28</v>
      </c>
      <c r="Q42" s="43">
        <v>34</v>
      </c>
      <c r="R42" s="41">
        <v>7.8287037037037044E-2</v>
      </c>
      <c r="S42" s="35">
        <v>0</v>
      </c>
      <c r="T42" s="37"/>
      <c r="U42" s="44"/>
      <c r="V42" s="45"/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22</v>
      </c>
      <c r="C43" s="63" t="str">
        <f t="shared" si="0"/>
        <v>GER19980505</v>
      </c>
      <c r="D43" s="64" t="str">
        <f t="shared" si="1"/>
        <v>HAUPT Tarik</v>
      </c>
      <c r="E43" s="65" t="str">
        <f t="shared" si="2"/>
        <v>RG BERLIN</v>
      </c>
      <c r="F43" s="66" t="str">
        <f t="shared" si="3"/>
        <v>BER 032308</v>
      </c>
      <c r="G43" s="67" t="str">
        <f t="shared" si="4"/>
        <v>CADET</v>
      </c>
      <c r="H43" s="67" t="str">
        <f t="shared" si="5"/>
        <v>RGB</v>
      </c>
      <c r="I43" s="199">
        <f t="shared" si="6"/>
        <v>7.8287037037037044E-2</v>
      </c>
      <c r="J43" s="31">
        <f t="shared" si="7"/>
        <v>4.745370370370372E-4</v>
      </c>
      <c r="K43" s="31"/>
      <c r="P43" s="36">
        <v>29</v>
      </c>
      <c r="Q43" s="43">
        <v>22</v>
      </c>
      <c r="R43" s="41">
        <v>7.8287037037037044E-2</v>
      </c>
      <c r="S43" s="35">
        <v>0</v>
      </c>
      <c r="T43" s="37"/>
      <c r="U43" s="44"/>
      <c r="V43" s="45"/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48</v>
      </c>
      <c r="C44" s="63" t="str">
        <f t="shared" ref="C44:C75" si="8">VLOOKUP(B44,STARTOVKA,2,0)</f>
        <v>CZE19981009</v>
      </c>
      <c r="D44" s="64" t="str">
        <f t="shared" ref="D44:D75" si="9">VLOOKUP(B44,STARTOVKA,3,0)</f>
        <v xml:space="preserve">SIRŮČEK Václav </v>
      </c>
      <c r="E44" s="65" t="str">
        <f t="shared" ref="E44:E75" si="10">VLOOKUP(B44,STARTOVKA,4,0)</f>
        <v>KC KOOPERATIVA SG JABLONEC N.N</v>
      </c>
      <c r="F44" s="66">
        <f t="shared" ref="F44:F75" si="11">VLOOKUP(B44,STARTOVKA,5,0)</f>
        <v>8749</v>
      </c>
      <c r="G44" s="67" t="str">
        <f t="shared" ref="G44:G75" si="12">VLOOKUP(B44,STARTOVKA,6,0)</f>
        <v>CADET</v>
      </c>
      <c r="H44" s="67" t="str">
        <f t="shared" ref="H44:H75" si="13">VLOOKUP(B44,STARTOVKA,7,0)</f>
        <v>KOO</v>
      </c>
      <c r="I44" s="199">
        <f t="shared" ref="I44:I75" si="14">SUM(R44,V44,Z44,AD44)-SUM(S44,W44,AA44,AE44)+AF44</f>
        <v>7.8287037037037044E-2</v>
      </c>
      <c r="J44" s="31">
        <f t="shared" ref="J44:J75" si="15">I44-$I$12</f>
        <v>4.745370370370372E-4</v>
      </c>
      <c r="K44" s="31"/>
      <c r="P44" s="36">
        <v>30</v>
      </c>
      <c r="Q44" s="43">
        <v>48</v>
      </c>
      <c r="R44" s="41">
        <v>7.8287037037037044E-2</v>
      </c>
      <c r="S44" s="35">
        <v>0</v>
      </c>
      <c r="T44" s="37"/>
      <c r="U44" s="44"/>
      <c r="V44" s="45"/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49</v>
      </c>
      <c r="C45" s="63" t="str">
        <f t="shared" si="8"/>
        <v>CZE19960703</v>
      </c>
      <c r="D45" s="64" t="str">
        <f t="shared" si="9"/>
        <v xml:space="preserve">ŠÍREK Adrian </v>
      </c>
      <c r="E45" s="65" t="str">
        <f t="shared" si="10"/>
        <v>KC KOOPERATIVA SG JABLONEC N.N</v>
      </c>
      <c r="F45" s="66">
        <f t="shared" si="11"/>
        <v>12955</v>
      </c>
      <c r="G45" s="67" t="str">
        <f t="shared" si="12"/>
        <v>JUNIOR</v>
      </c>
      <c r="H45" s="67" t="str">
        <f t="shared" si="13"/>
        <v>KOO</v>
      </c>
      <c r="I45" s="199">
        <f t="shared" si="14"/>
        <v>7.8287037037037044E-2</v>
      </c>
      <c r="J45" s="31">
        <f t="shared" si="15"/>
        <v>4.745370370370372E-4</v>
      </c>
      <c r="K45" s="31"/>
      <c r="P45" s="36">
        <v>31</v>
      </c>
      <c r="Q45" s="43">
        <v>49</v>
      </c>
      <c r="R45" s="41">
        <v>7.8287037037037044E-2</v>
      </c>
      <c r="S45" s="35">
        <v>0</v>
      </c>
      <c r="T45" s="37"/>
      <c r="U45" s="44"/>
      <c r="V45" s="45"/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163</v>
      </c>
      <c r="C46" s="63" t="str">
        <f t="shared" si="8"/>
        <v>RUS19970527</v>
      </c>
      <c r="D46" s="64" t="str">
        <f t="shared" si="9"/>
        <v>PLAKUSHKIN Sergey</v>
      </c>
      <c r="E46" s="65" t="str">
        <f t="shared" si="10"/>
        <v>RUSSIAN CYCLING FEDERATION</v>
      </c>
      <c r="F46" s="66" t="str">
        <f t="shared" si="11"/>
        <v>B0277</v>
      </c>
      <c r="G46" s="67" t="str">
        <f t="shared" si="12"/>
        <v>JUNIOR*</v>
      </c>
      <c r="H46" s="67" t="str">
        <f t="shared" si="13"/>
        <v>RUS</v>
      </c>
      <c r="I46" s="199">
        <f t="shared" si="14"/>
        <v>7.8287037037037044E-2</v>
      </c>
      <c r="J46" s="31">
        <f t="shared" si="15"/>
        <v>4.745370370370372E-4</v>
      </c>
      <c r="K46" s="31"/>
      <c r="P46" s="36">
        <v>32</v>
      </c>
      <c r="Q46" s="43">
        <v>163</v>
      </c>
      <c r="R46" s="41">
        <v>7.8287037037037044E-2</v>
      </c>
      <c r="S46" s="35">
        <v>0</v>
      </c>
      <c r="T46" s="37"/>
      <c r="U46" s="44"/>
      <c r="V46" s="45"/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24</v>
      </c>
      <c r="C47" s="63" t="str">
        <f t="shared" si="8"/>
        <v>GER19980223</v>
      </c>
      <c r="D47" s="64" t="str">
        <f t="shared" si="9"/>
        <v>PLAMBECK Philipp</v>
      </c>
      <c r="E47" s="65" t="str">
        <f t="shared" si="10"/>
        <v>RG BERLIN</v>
      </c>
      <c r="F47" s="66" t="str">
        <f t="shared" si="11"/>
        <v>HAM062726</v>
      </c>
      <c r="G47" s="67" t="str">
        <f t="shared" si="12"/>
        <v>CADET</v>
      </c>
      <c r="H47" s="67" t="str">
        <f t="shared" si="13"/>
        <v>RGB</v>
      </c>
      <c r="I47" s="199">
        <f t="shared" si="14"/>
        <v>7.8287037037037044E-2</v>
      </c>
      <c r="J47" s="31">
        <f t="shared" si="15"/>
        <v>4.745370370370372E-4</v>
      </c>
      <c r="K47" s="31"/>
      <c r="P47" s="36">
        <v>34</v>
      </c>
      <c r="Q47" s="43">
        <v>24</v>
      </c>
      <c r="R47" s="41">
        <v>7.8287037037037044E-2</v>
      </c>
      <c r="S47" s="35">
        <v>0</v>
      </c>
      <c r="T47" s="37"/>
      <c r="U47" s="44"/>
      <c r="V47" s="45"/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63</v>
      </c>
      <c r="C48" s="63" t="str">
        <f t="shared" si="8"/>
        <v>POL19960116</v>
      </c>
      <c r="D48" s="64" t="str">
        <f t="shared" si="9"/>
        <v>GORZAWSKI Kamil</v>
      </c>
      <c r="E48" s="65" t="str">
        <f t="shared" si="10"/>
        <v xml:space="preserve">DSR AUTHOR GÓRNIK WAŁBRZYCH </v>
      </c>
      <c r="F48" s="66" t="str">
        <f t="shared" si="11"/>
        <v>DLS164</v>
      </c>
      <c r="G48" s="67" t="str">
        <f t="shared" si="12"/>
        <v>JUNIOR</v>
      </c>
      <c r="H48" s="67" t="str">
        <f t="shared" si="13"/>
        <v>GOR</v>
      </c>
      <c r="I48" s="199">
        <f t="shared" si="14"/>
        <v>7.8287037037037044E-2</v>
      </c>
      <c r="J48" s="31">
        <f t="shared" si="15"/>
        <v>4.745370370370372E-4</v>
      </c>
      <c r="K48" s="31"/>
      <c r="P48" s="36">
        <v>35</v>
      </c>
      <c r="Q48" s="43">
        <v>63</v>
      </c>
      <c r="R48" s="41">
        <v>7.8287037037037044E-2</v>
      </c>
      <c r="S48" s="35">
        <v>0</v>
      </c>
      <c r="T48" s="37"/>
      <c r="U48" s="44"/>
      <c r="V48" s="45"/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17</v>
      </c>
      <c r="C49" s="63" t="str">
        <f t="shared" si="8"/>
        <v>GER19980912</v>
      </c>
      <c r="D49" s="64" t="str">
        <f t="shared" si="9"/>
        <v>CLAUSS Marc</v>
      </c>
      <c r="E49" s="65" t="str">
        <f t="shared" si="10"/>
        <v>JUNIOREN SCHWALBE TEAM SACHSEN</v>
      </c>
      <c r="F49" s="66" t="str">
        <f t="shared" si="11"/>
        <v>SAC 135276</v>
      </c>
      <c r="G49" s="67" t="str">
        <f t="shared" si="12"/>
        <v>CADET</v>
      </c>
      <c r="H49" s="67" t="str">
        <f t="shared" si="13"/>
        <v>SCW</v>
      </c>
      <c r="I49" s="199">
        <f t="shared" si="14"/>
        <v>7.8287037037037044E-2</v>
      </c>
      <c r="J49" s="31">
        <f t="shared" si="15"/>
        <v>4.745370370370372E-4</v>
      </c>
      <c r="K49" s="31"/>
      <c r="P49" s="36">
        <v>36</v>
      </c>
      <c r="Q49" s="43">
        <v>17</v>
      </c>
      <c r="R49" s="41">
        <v>7.8287037037037044E-2</v>
      </c>
      <c r="S49" s="35">
        <v>0</v>
      </c>
      <c r="T49" s="37"/>
      <c r="U49" s="44"/>
      <c r="V49" s="45"/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96</v>
      </c>
      <c r="C50" s="63" t="str">
        <f t="shared" si="8"/>
        <v>CZE19960516</v>
      </c>
      <c r="D50" s="64" t="str">
        <f t="shared" si="9"/>
        <v xml:space="preserve">SCHMIDT Vít </v>
      </c>
      <c r="E50" s="65" t="str">
        <f t="shared" si="10"/>
        <v xml:space="preserve">TJ FAVORIT BRNO </v>
      </c>
      <c r="F50" s="66">
        <f t="shared" si="11"/>
        <v>8369</v>
      </c>
      <c r="G50" s="67" t="str">
        <f t="shared" si="12"/>
        <v>JUNIOR</v>
      </c>
      <c r="H50" s="67" t="str">
        <f t="shared" si="13"/>
        <v>FAV</v>
      </c>
      <c r="I50" s="199">
        <f t="shared" si="14"/>
        <v>7.8287037037037044E-2</v>
      </c>
      <c r="J50" s="31">
        <f t="shared" si="15"/>
        <v>4.745370370370372E-4</v>
      </c>
      <c r="K50" s="31"/>
      <c r="P50" s="36">
        <v>37</v>
      </c>
      <c r="Q50" s="43">
        <v>96</v>
      </c>
      <c r="R50" s="41">
        <v>7.8287037037037044E-2</v>
      </c>
      <c r="S50" s="35">
        <v>0</v>
      </c>
      <c r="T50" s="37"/>
      <c r="U50" s="44"/>
      <c r="V50" s="45"/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123</v>
      </c>
      <c r="C51" s="63" t="str">
        <f t="shared" si="8"/>
        <v>CZE19971015</v>
      </c>
      <c r="D51" s="64" t="str">
        <f t="shared" si="9"/>
        <v xml:space="preserve">STRUPEK Matyáš </v>
      </c>
      <c r="E51" s="65" t="str">
        <f t="shared" si="10"/>
        <v xml:space="preserve">SKC TUFO PROSTĚJOV </v>
      </c>
      <c r="F51" s="66">
        <f t="shared" si="11"/>
        <v>11747</v>
      </c>
      <c r="G51" s="67" t="str">
        <f t="shared" si="12"/>
        <v>JUNIOR*</v>
      </c>
      <c r="H51" s="67" t="str">
        <f t="shared" si="13"/>
        <v>SKC</v>
      </c>
      <c r="I51" s="199">
        <f t="shared" si="14"/>
        <v>7.8287037037037044E-2</v>
      </c>
      <c r="J51" s="31">
        <f t="shared" si="15"/>
        <v>4.745370370370372E-4</v>
      </c>
      <c r="K51" s="31"/>
      <c r="P51" s="36">
        <v>38</v>
      </c>
      <c r="Q51" s="43">
        <v>123</v>
      </c>
      <c r="R51" s="41">
        <v>7.8287037037037044E-2</v>
      </c>
      <c r="S51" s="35">
        <v>0</v>
      </c>
      <c r="T51" s="37"/>
      <c r="U51" s="44"/>
      <c r="V51" s="45"/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57</v>
      </c>
      <c r="C52" s="63" t="str">
        <f t="shared" si="8"/>
        <v>POL19970825</v>
      </c>
      <c r="D52" s="64" t="str">
        <f t="shared" si="9"/>
        <v>GRZEGORZYCA Dominik</v>
      </c>
      <c r="E52" s="65" t="str">
        <f t="shared" si="10"/>
        <v>GRUPA KOLARSKA GLIWICE BA</v>
      </c>
      <c r="F52" s="66" t="str">
        <f t="shared" si="11"/>
        <v>SLA008</v>
      </c>
      <c r="G52" s="67" t="str">
        <f t="shared" si="12"/>
        <v>JUNIOR*</v>
      </c>
      <c r="H52" s="67" t="str">
        <f t="shared" si="13"/>
        <v>GLI</v>
      </c>
      <c r="I52" s="199">
        <f t="shared" si="14"/>
        <v>7.8287037037037044E-2</v>
      </c>
      <c r="J52" s="31">
        <f t="shared" si="15"/>
        <v>4.745370370370372E-4</v>
      </c>
      <c r="K52" s="31"/>
      <c r="P52" s="36">
        <v>39</v>
      </c>
      <c r="Q52" s="43">
        <v>57</v>
      </c>
      <c r="R52" s="41">
        <v>7.8287037037037044E-2</v>
      </c>
      <c r="S52" s="35">
        <v>0</v>
      </c>
      <c r="T52" s="37"/>
      <c r="U52" s="44"/>
      <c r="V52" s="45"/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148</v>
      </c>
      <c r="C53" s="63" t="str">
        <f t="shared" si="8"/>
        <v>CZE19960522</v>
      </c>
      <c r="D53" s="64" t="str">
        <f t="shared" si="9"/>
        <v xml:space="preserve">PUDL Tomáš </v>
      </c>
      <c r="E53" s="65" t="str">
        <f t="shared" si="10"/>
        <v xml:space="preserve">MAPEI CYKLO KAŇKOVSKÝ </v>
      </c>
      <c r="F53" s="66">
        <f t="shared" si="11"/>
        <v>19342</v>
      </c>
      <c r="G53" s="67" t="str">
        <f t="shared" si="12"/>
        <v>JUNIOR</v>
      </c>
      <c r="H53" s="67" t="str">
        <f t="shared" si="13"/>
        <v>MAP</v>
      </c>
      <c r="I53" s="199">
        <f t="shared" si="14"/>
        <v>7.8287037037037044E-2</v>
      </c>
      <c r="J53" s="31">
        <f t="shared" si="15"/>
        <v>4.745370370370372E-4</v>
      </c>
      <c r="K53" s="31"/>
      <c r="P53" s="36">
        <v>40</v>
      </c>
      <c r="Q53" s="43">
        <v>148</v>
      </c>
      <c r="R53" s="41">
        <v>7.8287037037037044E-2</v>
      </c>
      <c r="S53" s="35">
        <v>0</v>
      </c>
      <c r="T53" s="37"/>
      <c r="U53" s="44"/>
      <c r="V53" s="45"/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8</v>
      </c>
      <c r="C54" s="63" t="str">
        <f t="shared" si="8"/>
        <v>GER19980416</v>
      </c>
      <c r="D54" s="64" t="str">
        <f t="shared" si="9"/>
        <v>KÄßMANN Fabian</v>
      </c>
      <c r="E54" s="65" t="str">
        <f t="shared" si="10"/>
        <v>1.RSV 1886 GREIZ</v>
      </c>
      <c r="F54" s="66" t="str">
        <f t="shared" si="11"/>
        <v>THÜ173410</v>
      </c>
      <c r="G54" s="67" t="str">
        <f t="shared" si="12"/>
        <v>CADET</v>
      </c>
      <c r="H54" s="67" t="str">
        <f t="shared" si="13"/>
        <v>TUR</v>
      </c>
      <c r="I54" s="199">
        <f t="shared" si="14"/>
        <v>7.8287037037037044E-2</v>
      </c>
      <c r="J54" s="31">
        <f t="shared" si="15"/>
        <v>4.745370370370372E-4</v>
      </c>
      <c r="K54" s="31"/>
      <c r="P54" s="36">
        <v>41</v>
      </c>
      <c r="Q54" s="43">
        <v>8</v>
      </c>
      <c r="R54" s="41">
        <v>7.8287037037037044E-2</v>
      </c>
      <c r="S54" s="35">
        <v>0</v>
      </c>
      <c r="T54" s="37"/>
      <c r="U54" s="44"/>
      <c r="V54" s="45"/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62</v>
      </c>
      <c r="C55" s="63" t="str">
        <f t="shared" si="8"/>
        <v>POL19970228</v>
      </c>
      <c r="D55" s="64" t="str">
        <f t="shared" si="9"/>
        <v>SKIBIŃSKI Krzysztof</v>
      </c>
      <c r="E55" s="65" t="str">
        <f t="shared" si="10"/>
        <v xml:space="preserve">DSR AUTHOR GÓRNIK WAŁBRZYCH </v>
      </c>
      <c r="F55" s="66" t="str">
        <f t="shared" si="11"/>
        <v>DLS161</v>
      </c>
      <c r="G55" s="67" t="str">
        <f t="shared" si="12"/>
        <v>JUNIOR*</v>
      </c>
      <c r="H55" s="67" t="str">
        <f t="shared" si="13"/>
        <v>GOR</v>
      </c>
      <c r="I55" s="199">
        <f t="shared" si="14"/>
        <v>7.8287037037037044E-2</v>
      </c>
      <c r="J55" s="31">
        <f t="shared" si="15"/>
        <v>4.745370370370372E-4</v>
      </c>
      <c r="K55" s="31"/>
      <c r="P55" s="36">
        <v>43</v>
      </c>
      <c r="Q55" s="43">
        <v>62</v>
      </c>
      <c r="R55" s="41">
        <v>7.8287037037037044E-2</v>
      </c>
      <c r="S55" s="35">
        <v>0</v>
      </c>
      <c r="T55" s="37"/>
      <c r="U55" s="44"/>
      <c r="V55" s="45"/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162</v>
      </c>
      <c r="C56" s="63" t="str">
        <f t="shared" si="8"/>
        <v>RUS19971119</v>
      </c>
      <c r="D56" s="64" t="str">
        <f t="shared" si="9"/>
        <v>NECHAEV Vladislav</v>
      </c>
      <c r="E56" s="65" t="str">
        <f t="shared" si="10"/>
        <v>RUSSIAN CYCLING FEDERATION</v>
      </c>
      <c r="F56" s="66" t="str">
        <f t="shared" si="11"/>
        <v>B0275</v>
      </c>
      <c r="G56" s="67" t="str">
        <f t="shared" si="12"/>
        <v>JUNIOR*</v>
      </c>
      <c r="H56" s="67" t="str">
        <f t="shared" si="13"/>
        <v>RUS</v>
      </c>
      <c r="I56" s="199">
        <f t="shared" si="14"/>
        <v>7.8287037037037044E-2</v>
      </c>
      <c r="J56" s="31">
        <f t="shared" si="15"/>
        <v>4.745370370370372E-4</v>
      </c>
      <c r="K56" s="31"/>
      <c r="P56" s="36">
        <v>44</v>
      </c>
      <c r="Q56" s="43">
        <v>162</v>
      </c>
      <c r="R56" s="41">
        <v>7.8287037037037044E-2</v>
      </c>
      <c r="S56" s="35">
        <v>0</v>
      </c>
      <c r="T56" s="37"/>
      <c r="U56" s="44"/>
      <c r="V56" s="45"/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84</v>
      </c>
      <c r="C57" s="63" t="str">
        <f t="shared" si="8"/>
        <v>BEL19970116</v>
      </c>
      <c r="D57" s="64" t="str">
        <f t="shared" si="9"/>
        <v>PENNINCK Jens</v>
      </c>
      <c r="E57" s="65" t="str">
        <f t="shared" si="10"/>
        <v>VZW TIELTSE RENNERSCLUB - JIELKER GELDHOF</v>
      </c>
      <c r="F57" s="66">
        <f t="shared" si="11"/>
        <v>35143</v>
      </c>
      <c r="G57" s="67" t="str">
        <f t="shared" si="12"/>
        <v>JUNIOR*</v>
      </c>
      <c r="H57" s="67" t="str">
        <f t="shared" si="13"/>
        <v>KOV</v>
      </c>
      <c r="I57" s="199">
        <f t="shared" si="14"/>
        <v>7.8287037037037044E-2</v>
      </c>
      <c r="J57" s="31">
        <f t="shared" si="15"/>
        <v>4.745370370370372E-4</v>
      </c>
      <c r="K57" s="31"/>
      <c r="P57" s="36">
        <v>45</v>
      </c>
      <c r="Q57" s="43">
        <v>84</v>
      </c>
      <c r="R57" s="41">
        <v>7.8287037037037044E-2</v>
      </c>
      <c r="S57" s="35">
        <v>0</v>
      </c>
      <c r="T57" s="37"/>
      <c r="U57" s="44"/>
      <c r="V57" s="45"/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134</v>
      </c>
      <c r="C58" s="63" t="str">
        <f t="shared" si="8"/>
        <v>AUT19960910</v>
      </c>
      <c r="D58" s="64" t="str">
        <f t="shared" si="9"/>
        <v>HUBER Marcel</v>
      </c>
      <c r="E58" s="65" t="str">
        <f t="shared" si="10"/>
        <v>RC ARBÖ WELS GOURMETFEIN</v>
      </c>
      <c r="F58" s="66">
        <f t="shared" si="11"/>
        <v>100090</v>
      </c>
      <c r="G58" s="67" t="str">
        <f t="shared" si="12"/>
        <v>JUNIOR</v>
      </c>
      <c r="H58" s="67" t="str">
        <f t="shared" si="13"/>
        <v>RCA</v>
      </c>
      <c r="I58" s="199">
        <f t="shared" si="14"/>
        <v>7.8287037037037044E-2</v>
      </c>
      <c r="J58" s="31">
        <f t="shared" si="15"/>
        <v>4.745370370370372E-4</v>
      </c>
      <c r="K58" s="31"/>
      <c r="P58" s="36">
        <v>46</v>
      </c>
      <c r="Q58" s="43">
        <v>134</v>
      </c>
      <c r="R58" s="41">
        <v>7.8287037037037044E-2</v>
      </c>
      <c r="S58" s="35">
        <v>0</v>
      </c>
      <c r="T58" s="37"/>
      <c r="U58" s="44"/>
      <c r="V58" s="45"/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154</v>
      </c>
      <c r="C59" s="63" t="str">
        <f t="shared" si="8"/>
        <v>CZE19970227</v>
      </c>
      <c r="D59" s="64" t="str">
        <f t="shared" si="9"/>
        <v>PAVKA Filip</v>
      </c>
      <c r="E59" s="65" t="str">
        <f t="shared" si="10"/>
        <v>STEVENS ZNOJMO</v>
      </c>
      <c r="F59" s="66">
        <f t="shared" si="11"/>
        <v>20126</v>
      </c>
      <c r="G59" s="67" t="str">
        <f t="shared" si="12"/>
        <v>JUNIOR*</v>
      </c>
      <c r="H59" s="67" t="str">
        <f t="shared" si="13"/>
        <v>SKC</v>
      </c>
      <c r="I59" s="199">
        <f t="shared" si="14"/>
        <v>7.8287037037037044E-2</v>
      </c>
      <c r="J59" s="31">
        <f t="shared" si="15"/>
        <v>4.745370370370372E-4</v>
      </c>
      <c r="K59" s="31"/>
      <c r="P59" s="36">
        <v>47</v>
      </c>
      <c r="Q59" s="43">
        <v>154</v>
      </c>
      <c r="R59" s="41">
        <v>7.8287037037037044E-2</v>
      </c>
      <c r="S59" s="35">
        <v>0</v>
      </c>
      <c r="T59" s="37"/>
      <c r="U59" s="44"/>
      <c r="V59" s="45"/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45</v>
      </c>
      <c r="C60" s="63" t="str">
        <f t="shared" si="8"/>
        <v>CZE19960630</v>
      </c>
      <c r="D60" s="64" t="str">
        <f t="shared" si="9"/>
        <v xml:space="preserve">LEHKÝ Roman </v>
      </c>
      <c r="E60" s="65" t="str">
        <f t="shared" si="10"/>
        <v>KC KOOPERATIVA SG JABLONEC N.N</v>
      </c>
      <c r="F60" s="66">
        <f t="shared" si="11"/>
        <v>9859</v>
      </c>
      <c r="G60" s="67" t="str">
        <f t="shared" si="12"/>
        <v>JUNIOR</v>
      </c>
      <c r="H60" s="67" t="str">
        <f t="shared" si="13"/>
        <v>KOO</v>
      </c>
      <c r="I60" s="199">
        <f t="shared" si="14"/>
        <v>7.8287037037037044E-2</v>
      </c>
      <c r="J60" s="31">
        <f t="shared" si="15"/>
        <v>4.745370370370372E-4</v>
      </c>
      <c r="K60" s="31"/>
      <c r="P60" s="36">
        <v>48</v>
      </c>
      <c r="Q60" s="43">
        <v>45</v>
      </c>
      <c r="R60" s="41">
        <v>7.8287037037037044E-2</v>
      </c>
      <c r="S60" s="35">
        <v>0</v>
      </c>
      <c r="T60" s="37"/>
      <c r="U60" s="44"/>
      <c r="V60" s="45"/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42</v>
      </c>
      <c r="C61" s="63" t="str">
        <f t="shared" si="8"/>
        <v>CZE19961125</v>
      </c>
      <c r="D61" s="64" t="str">
        <f t="shared" si="9"/>
        <v xml:space="preserve">ANDRŠ Jakub </v>
      </c>
      <c r="E61" s="65" t="str">
        <f t="shared" si="10"/>
        <v>KC KOOPERATIVA SG JABLONEC N.N</v>
      </c>
      <c r="F61" s="66">
        <f t="shared" si="11"/>
        <v>12251</v>
      </c>
      <c r="G61" s="67" t="str">
        <f t="shared" si="12"/>
        <v>JUNIOR</v>
      </c>
      <c r="H61" s="67" t="str">
        <f t="shared" si="13"/>
        <v>KOO</v>
      </c>
      <c r="I61" s="199">
        <f t="shared" si="14"/>
        <v>7.8287037037037044E-2</v>
      </c>
      <c r="J61" s="31">
        <f t="shared" si="15"/>
        <v>4.745370370370372E-4</v>
      </c>
      <c r="K61" s="31"/>
      <c r="P61" s="36">
        <v>49</v>
      </c>
      <c r="Q61" s="43">
        <v>42</v>
      </c>
      <c r="R61" s="41">
        <v>7.8287037037037044E-2</v>
      </c>
      <c r="S61" s="35">
        <v>0</v>
      </c>
      <c r="T61" s="37"/>
      <c r="U61" s="44"/>
      <c r="V61" s="45"/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94</v>
      </c>
      <c r="C62" s="63" t="str">
        <f t="shared" si="8"/>
        <v>CZE19970127</v>
      </c>
      <c r="D62" s="64" t="str">
        <f t="shared" si="9"/>
        <v xml:space="preserve">KOTOUČEK Matěj </v>
      </c>
      <c r="E62" s="65" t="str">
        <f t="shared" si="10"/>
        <v xml:space="preserve">TJ FAVORIT BRNO </v>
      </c>
      <c r="F62" s="66">
        <f t="shared" si="11"/>
        <v>9917</v>
      </c>
      <c r="G62" s="67" t="str">
        <f t="shared" si="12"/>
        <v>JUNIOR*</v>
      </c>
      <c r="H62" s="67" t="str">
        <f t="shared" si="13"/>
        <v>FAV</v>
      </c>
      <c r="I62" s="199">
        <f t="shared" si="14"/>
        <v>7.8287037037037044E-2</v>
      </c>
      <c r="J62" s="31">
        <f t="shared" si="15"/>
        <v>4.745370370370372E-4</v>
      </c>
      <c r="K62" s="31"/>
      <c r="P62" s="36">
        <v>50</v>
      </c>
      <c r="Q62" s="43">
        <v>94</v>
      </c>
      <c r="R62" s="41">
        <v>7.8287037037037044E-2</v>
      </c>
      <c r="S62" s="35">
        <v>0</v>
      </c>
      <c r="T62" s="37"/>
      <c r="U62" s="44"/>
      <c r="V62" s="45"/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136</v>
      </c>
      <c r="C63" s="63" t="str">
        <f t="shared" si="8"/>
        <v>AUT19970822</v>
      </c>
      <c r="D63" s="64" t="str">
        <f t="shared" si="9"/>
        <v>STEINDLER Julian</v>
      </c>
      <c r="E63" s="65" t="str">
        <f t="shared" si="10"/>
        <v>RC ARBÖ WELS GOURMETFEIN</v>
      </c>
      <c r="F63" s="66">
        <f t="shared" si="11"/>
        <v>100089</v>
      </c>
      <c r="G63" s="67" t="str">
        <f t="shared" si="12"/>
        <v>JUNIOR*</v>
      </c>
      <c r="H63" s="67" t="str">
        <f t="shared" si="13"/>
        <v>RCA</v>
      </c>
      <c r="I63" s="199">
        <f t="shared" si="14"/>
        <v>7.8287037037037044E-2</v>
      </c>
      <c r="J63" s="31">
        <f t="shared" si="15"/>
        <v>4.745370370370372E-4</v>
      </c>
      <c r="K63" s="31"/>
      <c r="P63" s="36">
        <v>51</v>
      </c>
      <c r="Q63" s="43">
        <v>136</v>
      </c>
      <c r="R63" s="41">
        <v>7.8287037037037044E-2</v>
      </c>
      <c r="S63" s="35">
        <v>0</v>
      </c>
      <c r="T63" s="37"/>
      <c r="U63" s="44"/>
      <c r="V63" s="45"/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6</v>
      </c>
      <c r="C64" s="63" t="str">
        <f t="shared" si="8"/>
        <v>GER19970811</v>
      </c>
      <c r="D64" s="64" t="str">
        <f t="shared" si="9"/>
        <v>LINTZEL Philip</v>
      </c>
      <c r="E64" s="65" t="str">
        <f t="shared" si="10"/>
        <v>RSC TURBINE ERFURT</v>
      </c>
      <c r="F64" s="66" t="str">
        <f t="shared" si="11"/>
        <v>THÜ173079</v>
      </c>
      <c r="G64" s="67" t="str">
        <f t="shared" si="12"/>
        <v>JUNIOR*</v>
      </c>
      <c r="H64" s="67" t="str">
        <f t="shared" si="13"/>
        <v>TUR</v>
      </c>
      <c r="I64" s="199">
        <f t="shared" si="14"/>
        <v>7.8287037037037044E-2</v>
      </c>
      <c r="J64" s="31">
        <f t="shared" si="15"/>
        <v>4.745370370370372E-4</v>
      </c>
      <c r="K64" s="31"/>
      <c r="P64" s="36">
        <v>52</v>
      </c>
      <c r="Q64" s="43">
        <v>6</v>
      </c>
      <c r="R64" s="41">
        <v>7.8287037037037044E-2</v>
      </c>
      <c r="S64" s="35">
        <v>0</v>
      </c>
      <c r="T64" s="37"/>
      <c r="U64" s="44"/>
      <c r="V64" s="45"/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146</v>
      </c>
      <c r="C65" s="63" t="str">
        <f t="shared" si="8"/>
        <v>CZE19980130</v>
      </c>
      <c r="D65" s="64" t="str">
        <f t="shared" si="9"/>
        <v xml:space="preserve">OTRUBA Jakub </v>
      </c>
      <c r="E65" s="65" t="str">
        <f t="shared" si="10"/>
        <v xml:space="preserve">MAPEI CYKLO KAŇKOVSKÝ </v>
      </c>
      <c r="F65" s="66">
        <f t="shared" si="11"/>
        <v>19627</v>
      </c>
      <c r="G65" s="67" t="str">
        <f t="shared" si="12"/>
        <v>CADET</v>
      </c>
      <c r="H65" s="67" t="str">
        <f t="shared" si="13"/>
        <v>MAP</v>
      </c>
      <c r="I65" s="199">
        <f t="shared" si="14"/>
        <v>7.8287037037037044E-2</v>
      </c>
      <c r="J65" s="31">
        <f t="shared" si="15"/>
        <v>4.745370370370372E-4</v>
      </c>
      <c r="K65" s="31"/>
      <c r="P65" s="36">
        <v>53</v>
      </c>
      <c r="Q65" s="43">
        <v>146</v>
      </c>
      <c r="R65" s="41">
        <v>7.8287037037037044E-2</v>
      </c>
      <c r="S65" s="35">
        <v>0</v>
      </c>
      <c r="T65" s="37"/>
      <c r="U65" s="44"/>
      <c r="V65" s="45"/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55</v>
      </c>
      <c r="C66" s="63" t="str">
        <f t="shared" si="8"/>
        <v>POL19981009</v>
      </c>
      <c r="D66" s="64" t="str">
        <f t="shared" si="9"/>
        <v>FABIAN Marcel</v>
      </c>
      <c r="E66" s="65" t="str">
        <f t="shared" si="10"/>
        <v>GRUPA KOLARSKA GLIWICE BA</v>
      </c>
      <c r="F66" s="66" t="str">
        <f t="shared" si="11"/>
        <v>SLA012</v>
      </c>
      <c r="G66" s="67" t="str">
        <f t="shared" si="12"/>
        <v>CADET</v>
      </c>
      <c r="H66" s="67" t="str">
        <f t="shared" si="13"/>
        <v>GLI</v>
      </c>
      <c r="I66" s="199">
        <f t="shared" si="14"/>
        <v>7.8287037037037044E-2</v>
      </c>
      <c r="J66" s="31">
        <f t="shared" si="15"/>
        <v>4.745370370370372E-4</v>
      </c>
      <c r="K66" s="31"/>
      <c r="P66" s="36">
        <v>54</v>
      </c>
      <c r="Q66" s="43">
        <v>55</v>
      </c>
      <c r="R66" s="41">
        <v>7.8287037037037044E-2</v>
      </c>
      <c r="S66" s="35">
        <v>0</v>
      </c>
      <c r="T66" s="37"/>
      <c r="U66" s="44"/>
      <c r="V66" s="45"/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97</v>
      </c>
      <c r="C67" s="63" t="str">
        <f t="shared" si="8"/>
        <v>SVK19961022</v>
      </c>
      <c r="D67" s="64" t="str">
        <f t="shared" si="9"/>
        <v xml:space="preserve">STRMISKA Andrej </v>
      </c>
      <c r="E67" s="65" t="str">
        <f t="shared" si="10"/>
        <v xml:space="preserve">TJ FAVORIT BRNO </v>
      </c>
      <c r="F67" s="66">
        <f t="shared" si="11"/>
        <v>6009</v>
      </c>
      <c r="G67" s="67" t="str">
        <f t="shared" si="12"/>
        <v>JUNIOR</v>
      </c>
      <c r="H67" s="67" t="str">
        <f t="shared" si="13"/>
        <v>FAV</v>
      </c>
      <c r="I67" s="199">
        <f t="shared" si="14"/>
        <v>7.8287037037037044E-2</v>
      </c>
      <c r="J67" s="31">
        <f t="shared" si="15"/>
        <v>4.745370370370372E-4</v>
      </c>
      <c r="K67" s="31"/>
      <c r="P67" s="36">
        <v>55</v>
      </c>
      <c r="Q67" s="43">
        <v>97</v>
      </c>
      <c r="R67" s="41">
        <v>7.8287037037037044E-2</v>
      </c>
      <c r="S67" s="35">
        <v>0</v>
      </c>
      <c r="T67" s="37"/>
      <c r="U67" s="44"/>
      <c r="V67" s="45"/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174</v>
      </c>
      <c r="C68" s="63" t="str">
        <f t="shared" si="8"/>
        <v>SVK19970730</v>
      </c>
      <c r="D68" s="64" t="str">
        <f t="shared" si="9"/>
        <v>JELŽA Nicolas</v>
      </c>
      <c r="E68" s="65" t="str">
        <f t="shared" si="10"/>
        <v xml:space="preserve">SLOVAK CYCLING FEDERATION </v>
      </c>
      <c r="F68" s="66">
        <f t="shared" si="11"/>
        <v>4237</v>
      </c>
      <c r="G68" s="67" t="str">
        <f t="shared" si="12"/>
        <v>JUNIOR*</v>
      </c>
      <c r="H68" s="67" t="str">
        <f t="shared" si="13"/>
        <v>SVK</v>
      </c>
      <c r="I68" s="199">
        <f t="shared" si="14"/>
        <v>7.8287037037037044E-2</v>
      </c>
      <c r="J68" s="31">
        <f t="shared" si="15"/>
        <v>4.745370370370372E-4</v>
      </c>
      <c r="K68" s="31"/>
      <c r="P68" s="36">
        <v>56</v>
      </c>
      <c r="Q68" s="43">
        <v>174</v>
      </c>
      <c r="R68" s="41">
        <v>7.8287037037037044E-2</v>
      </c>
      <c r="S68" s="35">
        <v>0</v>
      </c>
      <c r="T68" s="37"/>
      <c r="U68" s="44"/>
      <c r="V68" s="45"/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18</v>
      </c>
      <c r="C69" s="63" t="str">
        <f t="shared" si="8"/>
        <v>GER19980906</v>
      </c>
      <c r="D69" s="64" t="str">
        <f t="shared" si="9"/>
        <v>ZSCHOCKE Maximilian</v>
      </c>
      <c r="E69" s="65" t="str">
        <f t="shared" si="10"/>
        <v>JUNIOREN SCHWALBE TEAM SACHSEN</v>
      </c>
      <c r="F69" s="66" t="str">
        <f t="shared" si="11"/>
        <v>SAC 135079</v>
      </c>
      <c r="G69" s="67" t="str">
        <f t="shared" si="12"/>
        <v>CADET</v>
      </c>
      <c r="H69" s="67" t="str">
        <f t="shared" si="13"/>
        <v>SCW</v>
      </c>
      <c r="I69" s="199">
        <f t="shared" si="14"/>
        <v>7.8287037037037044E-2</v>
      </c>
      <c r="J69" s="31">
        <f t="shared" si="15"/>
        <v>4.745370370370372E-4</v>
      </c>
      <c r="K69" s="31"/>
      <c r="P69" s="36">
        <v>57</v>
      </c>
      <c r="Q69" s="43">
        <v>18</v>
      </c>
      <c r="R69" s="41">
        <v>7.8287037037037044E-2</v>
      </c>
      <c r="S69" s="35">
        <v>0</v>
      </c>
      <c r="T69" s="37"/>
      <c r="U69" s="44"/>
      <c r="V69" s="45"/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149</v>
      </c>
      <c r="C70" s="63" t="str">
        <f t="shared" si="8"/>
        <v>CZE19981228</v>
      </c>
      <c r="D70" s="64" t="str">
        <f t="shared" si="9"/>
        <v xml:space="preserve">WAGNER Jakub </v>
      </c>
      <c r="E70" s="65" t="str">
        <f t="shared" si="10"/>
        <v xml:space="preserve">MAPEI CYKLO KAŇKOVSKÝ </v>
      </c>
      <c r="F70" s="66">
        <f t="shared" si="11"/>
        <v>14090</v>
      </c>
      <c r="G70" s="67" t="str">
        <f t="shared" si="12"/>
        <v>CADET</v>
      </c>
      <c r="H70" s="67" t="str">
        <f t="shared" si="13"/>
        <v>MAP</v>
      </c>
      <c r="I70" s="199">
        <f t="shared" si="14"/>
        <v>7.8287037037037044E-2</v>
      </c>
      <c r="J70" s="31">
        <f t="shared" si="15"/>
        <v>4.745370370370372E-4</v>
      </c>
      <c r="K70" s="31"/>
      <c r="P70" s="36">
        <v>58</v>
      </c>
      <c r="Q70" s="43">
        <v>149</v>
      </c>
      <c r="R70" s="41">
        <v>7.8287037037037044E-2</v>
      </c>
      <c r="S70" s="35">
        <v>0</v>
      </c>
      <c r="T70" s="37"/>
      <c r="U70" s="44"/>
      <c r="V70" s="45"/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14</v>
      </c>
      <c r="C71" s="63" t="str">
        <f t="shared" si="8"/>
        <v>GER19970806</v>
      </c>
      <c r="D71" s="64" t="str">
        <f t="shared" si="9"/>
        <v>BINAY Noah</v>
      </c>
      <c r="E71" s="65" t="str">
        <f t="shared" si="10"/>
        <v>JUNIOREN SCHWALBE TEAM SACHSEN</v>
      </c>
      <c r="F71" s="66" t="str">
        <f t="shared" si="11"/>
        <v>SAC 142218</v>
      </c>
      <c r="G71" s="67" t="str">
        <f t="shared" si="12"/>
        <v>JUNIOR*</v>
      </c>
      <c r="H71" s="67" t="str">
        <f t="shared" si="13"/>
        <v>SCW</v>
      </c>
      <c r="I71" s="199">
        <f t="shared" si="14"/>
        <v>7.8287037037037044E-2</v>
      </c>
      <c r="J71" s="31">
        <f t="shared" si="15"/>
        <v>4.745370370370372E-4</v>
      </c>
      <c r="K71" s="31"/>
      <c r="P71" s="36">
        <v>59</v>
      </c>
      <c r="Q71" s="43">
        <v>14</v>
      </c>
      <c r="R71" s="41">
        <v>7.8287037037037044E-2</v>
      </c>
      <c r="S71" s="35">
        <v>0</v>
      </c>
      <c r="T71" s="37"/>
      <c r="U71" s="44"/>
      <c r="V71" s="45"/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181</v>
      </c>
      <c r="C72" s="63" t="str">
        <f t="shared" si="8"/>
        <v>AUT19960516</v>
      </c>
      <c r="D72" s="64" t="str">
        <f t="shared" si="9"/>
        <v>DYCZEK Felix</v>
      </c>
      <c r="E72" s="65" t="str">
        <f t="shared" si="10"/>
        <v xml:space="preserve">LRV STEIERMARK </v>
      </c>
      <c r="F72" s="66">
        <f t="shared" si="11"/>
        <v>100824</v>
      </c>
      <c r="G72" s="67" t="str">
        <f t="shared" si="12"/>
        <v>JUNIOR</v>
      </c>
      <c r="H72" s="67" t="str">
        <f t="shared" si="13"/>
        <v>LRV</v>
      </c>
      <c r="I72" s="199">
        <f t="shared" si="14"/>
        <v>7.8287037037037044E-2</v>
      </c>
      <c r="J72" s="31">
        <f t="shared" si="15"/>
        <v>4.745370370370372E-4</v>
      </c>
      <c r="K72" s="31"/>
      <c r="P72" s="36">
        <v>60</v>
      </c>
      <c r="Q72" s="43">
        <v>181</v>
      </c>
      <c r="R72" s="41">
        <v>7.8287037037037044E-2</v>
      </c>
      <c r="S72" s="35">
        <v>0</v>
      </c>
      <c r="T72" s="37"/>
      <c r="U72" s="44"/>
      <c r="V72" s="45"/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51</v>
      </c>
      <c r="C73" s="63" t="str">
        <f t="shared" si="8"/>
        <v>CZE19980726</v>
      </c>
      <c r="D73" s="64" t="str">
        <f t="shared" si="9"/>
        <v xml:space="preserve">POKORNÝ Petr </v>
      </c>
      <c r="E73" s="65" t="str">
        <f t="shared" si="10"/>
        <v xml:space="preserve">ACK STARÁ VES NAD ONDŘEJNICÍ </v>
      </c>
      <c r="F73" s="66">
        <f t="shared" si="11"/>
        <v>9870</v>
      </c>
      <c r="G73" s="67" t="str">
        <f t="shared" si="12"/>
        <v>CADET</v>
      </c>
      <c r="H73" s="67" t="str">
        <f t="shared" si="13"/>
        <v>GLI</v>
      </c>
      <c r="I73" s="199">
        <f t="shared" si="14"/>
        <v>7.8287037037037044E-2</v>
      </c>
      <c r="J73" s="31">
        <f t="shared" si="15"/>
        <v>4.745370370370372E-4</v>
      </c>
      <c r="K73" s="31"/>
      <c r="P73" s="36">
        <v>61</v>
      </c>
      <c r="Q73" s="43">
        <v>51</v>
      </c>
      <c r="R73" s="41">
        <v>7.8287037037037044E-2</v>
      </c>
      <c r="S73" s="35">
        <v>0</v>
      </c>
      <c r="T73" s="37"/>
      <c r="U73" s="44"/>
      <c r="V73" s="45"/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112</v>
      </c>
      <c r="C74" s="63" t="str">
        <f t="shared" si="8"/>
        <v>GER19970122</v>
      </c>
      <c r="D74" s="64" t="str">
        <f t="shared" si="9"/>
        <v>BERAN Andy</v>
      </c>
      <c r="E74" s="65" t="str">
        <f t="shared" si="10"/>
        <v>TEAM BRANDENBURG - RSC COTTBUS</v>
      </c>
      <c r="F74" s="66" t="str">
        <f t="shared" si="11"/>
        <v>604254-11</v>
      </c>
      <c r="G74" s="67" t="str">
        <f t="shared" si="12"/>
        <v>JUNIOR*</v>
      </c>
      <c r="H74" s="67" t="str">
        <f t="shared" si="13"/>
        <v>COT</v>
      </c>
      <c r="I74" s="199">
        <f t="shared" si="14"/>
        <v>7.8287037037037044E-2</v>
      </c>
      <c r="J74" s="31">
        <f t="shared" si="15"/>
        <v>4.745370370370372E-4</v>
      </c>
      <c r="K74" s="31"/>
      <c r="P74" s="36">
        <v>62</v>
      </c>
      <c r="Q74" s="43">
        <v>112</v>
      </c>
      <c r="R74" s="41">
        <v>7.8287037037037044E-2</v>
      </c>
      <c r="S74" s="35">
        <v>0</v>
      </c>
      <c r="T74" s="37"/>
      <c r="U74" s="44"/>
      <c r="V74" s="45"/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164</v>
      </c>
      <c r="C75" s="63" t="str">
        <f t="shared" si="8"/>
        <v>RUS19970224</v>
      </c>
      <c r="D75" s="64" t="str">
        <f t="shared" si="9"/>
        <v>RIKUNOV Petr</v>
      </c>
      <c r="E75" s="65" t="str">
        <f t="shared" si="10"/>
        <v>RUSSIAN CYCLING FEDERATION</v>
      </c>
      <c r="F75" s="66" t="str">
        <f t="shared" si="11"/>
        <v>B0273</v>
      </c>
      <c r="G75" s="67" t="str">
        <f t="shared" si="12"/>
        <v>JUNIOR*</v>
      </c>
      <c r="H75" s="67" t="str">
        <f t="shared" si="13"/>
        <v>RUS</v>
      </c>
      <c r="I75" s="199">
        <f t="shared" si="14"/>
        <v>7.8287037037037044E-2</v>
      </c>
      <c r="J75" s="31">
        <f t="shared" si="15"/>
        <v>4.745370370370372E-4</v>
      </c>
      <c r="K75" s="31"/>
      <c r="P75" s="36">
        <v>63</v>
      </c>
      <c r="Q75" s="43">
        <v>164</v>
      </c>
      <c r="R75" s="41">
        <v>7.8287037037037044E-2</v>
      </c>
      <c r="S75" s="35">
        <v>0</v>
      </c>
      <c r="T75" s="37"/>
      <c r="U75" s="44"/>
      <c r="V75" s="45"/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4</v>
      </c>
      <c r="C76" s="63" t="str">
        <f t="shared" ref="C76:C107" si="16">VLOOKUP(B76,STARTOVKA,2,0)</f>
        <v>GER19960212</v>
      </c>
      <c r="D76" s="64" t="str">
        <f t="shared" ref="D76:D107" si="17">VLOOKUP(B76,STARTOVKA,3,0)</f>
        <v>SCHUBERT Erik</v>
      </c>
      <c r="E76" s="65" t="str">
        <f t="shared" ref="E76:E107" si="18">VLOOKUP(B76,STARTOVKA,4,0)</f>
        <v>RV ELXLEBEN</v>
      </c>
      <c r="F76" s="66" t="str">
        <f t="shared" ref="F76:F107" si="19">VLOOKUP(B76,STARTOVKA,5,0)</f>
        <v>THÜ170276</v>
      </c>
      <c r="G76" s="67" t="str">
        <f t="shared" ref="G76:G107" si="20">VLOOKUP(B76,STARTOVKA,6,0)</f>
        <v>JUNIOR</v>
      </c>
      <c r="H76" s="67" t="str">
        <f t="shared" ref="H76:H107" si="21">VLOOKUP(B76,STARTOVKA,7,0)</f>
        <v>TUR</v>
      </c>
      <c r="I76" s="199">
        <f t="shared" ref="I76:I107" si="22">SUM(R76,V76,Z76,AD76)-SUM(S76,W76,AA76,AE76)+AF76</f>
        <v>7.8287037037037044E-2</v>
      </c>
      <c r="J76" s="31">
        <f t="shared" ref="J76:J107" si="23">I76-$I$12</f>
        <v>4.745370370370372E-4</v>
      </c>
      <c r="K76" s="31"/>
      <c r="P76" s="36">
        <v>65</v>
      </c>
      <c r="Q76" s="43">
        <v>4</v>
      </c>
      <c r="R76" s="41">
        <v>7.8287037037037044E-2</v>
      </c>
      <c r="S76" s="35">
        <v>0</v>
      </c>
      <c r="T76" s="37"/>
      <c r="U76" s="44"/>
      <c r="V76" s="45"/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53</v>
      </c>
      <c r="C77" s="63" t="str">
        <f t="shared" si="16"/>
        <v>CZE19980914</v>
      </c>
      <c r="D77" s="64" t="str">
        <f t="shared" si="17"/>
        <v>TRACHTULEC Petr</v>
      </c>
      <c r="E77" s="65" t="str">
        <f t="shared" si="18"/>
        <v>CK FESO PETŘVALD</v>
      </c>
      <c r="F77" s="66">
        <f t="shared" si="19"/>
        <v>20073</v>
      </c>
      <c r="G77" s="67" t="str">
        <f t="shared" si="20"/>
        <v>CADET</v>
      </c>
      <c r="H77" s="67" t="str">
        <f t="shared" si="21"/>
        <v>GLI</v>
      </c>
      <c r="I77" s="199">
        <f t="shared" si="22"/>
        <v>7.8287037037037044E-2</v>
      </c>
      <c r="J77" s="31">
        <f t="shared" si="23"/>
        <v>4.745370370370372E-4</v>
      </c>
      <c r="K77" s="31"/>
      <c r="P77" s="36">
        <v>66</v>
      </c>
      <c r="Q77" s="43">
        <v>53</v>
      </c>
      <c r="R77" s="41">
        <v>7.8287037037037044E-2</v>
      </c>
      <c r="S77" s="35">
        <v>0</v>
      </c>
      <c r="T77" s="37"/>
      <c r="U77" s="44"/>
      <c r="V77" s="45"/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114</v>
      </c>
      <c r="C78" s="63" t="str">
        <f t="shared" si="16"/>
        <v>GER19960823</v>
      </c>
      <c r="D78" s="64" t="str">
        <f t="shared" si="17"/>
        <v>SCHLOTT Julius</v>
      </c>
      <c r="E78" s="65" t="str">
        <f t="shared" si="18"/>
        <v>TEAM BRANDENBURG - RSC COTTBUS</v>
      </c>
      <c r="F78" s="66" t="str">
        <f t="shared" si="19"/>
        <v>044086-11</v>
      </c>
      <c r="G78" s="67" t="str">
        <f t="shared" si="20"/>
        <v>JUNIOR</v>
      </c>
      <c r="H78" s="67" t="str">
        <f t="shared" si="21"/>
        <v>COT</v>
      </c>
      <c r="I78" s="199">
        <f t="shared" si="22"/>
        <v>7.8287037037037044E-2</v>
      </c>
      <c r="J78" s="31">
        <f t="shared" si="23"/>
        <v>4.745370370370372E-4</v>
      </c>
      <c r="K78" s="31"/>
      <c r="P78" s="36">
        <v>67</v>
      </c>
      <c r="Q78" s="43">
        <v>114</v>
      </c>
      <c r="R78" s="41">
        <v>7.8287037037037044E-2</v>
      </c>
      <c r="S78" s="35">
        <v>0</v>
      </c>
      <c r="T78" s="37"/>
      <c r="U78" s="44"/>
      <c r="V78" s="45"/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176</v>
      </c>
      <c r="C79" s="63" t="str">
        <f t="shared" si="16"/>
        <v>SVK19960130</v>
      </c>
      <c r="D79" s="64" t="str">
        <f t="shared" si="17"/>
        <v>BELLAN Juraj</v>
      </c>
      <c r="E79" s="65" t="str">
        <f t="shared" si="18"/>
        <v xml:space="preserve">SLOVAK CYCLING FEDERATION </v>
      </c>
      <c r="F79" s="66">
        <f t="shared" si="19"/>
        <v>5681</v>
      </c>
      <c r="G79" s="67" t="str">
        <f t="shared" si="20"/>
        <v>JUNIOR</v>
      </c>
      <c r="H79" s="67" t="str">
        <f t="shared" si="21"/>
        <v>SVK</v>
      </c>
      <c r="I79" s="199">
        <f t="shared" si="22"/>
        <v>7.8287037037037044E-2</v>
      </c>
      <c r="J79" s="31">
        <f t="shared" si="23"/>
        <v>4.745370370370372E-4</v>
      </c>
      <c r="K79" s="31"/>
      <c r="P79" s="36">
        <v>68</v>
      </c>
      <c r="Q79" s="43">
        <v>176</v>
      </c>
      <c r="R79" s="41">
        <v>7.8287037037037044E-2</v>
      </c>
      <c r="S79" s="35">
        <v>0</v>
      </c>
      <c r="T79" s="37"/>
      <c r="U79" s="44"/>
      <c r="V79" s="45"/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133</v>
      </c>
      <c r="C80" s="63" t="str">
        <f t="shared" si="16"/>
        <v>CZE19960924</v>
      </c>
      <c r="D80" s="64" t="str">
        <f t="shared" si="17"/>
        <v>CAMRDA Pavel</v>
      </c>
      <c r="E80" s="65" t="str">
        <f t="shared" si="18"/>
        <v>RC ARBÖ WELS GOURMETFEIN</v>
      </c>
      <c r="F80" s="66">
        <f t="shared" si="19"/>
        <v>8509</v>
      </c>
      <c r="G80" s="67" t="str">
        <f t="shared" si="20"/>
        <v>JUNIOR</v>
      </c>
      <c r="H80" s="67" t="str">
        <f t="shared" si="21"/>
        <v>RCA</v>
      </c>
      <c r="I80" s="199">
        <f t="shared" si="22"/>
        <v>7.8287037037037044E-2</v>
      </c>
      <c r="J80" s="31">
        <f t="shared" si="23"/>
        <v>4.745370370370372E-4</v>
      </c>
      <c r="K80" s="31"/>
      <c r="P80" s="36">
        <v>69</v>
      </c>
      <c r="Q80" s="43">
        <v>133</v>
      </c>
      <c r="R80" s="41">
        <v>7.8287037037037044E-2</v>
      </c>
      <c r="S80" s="35">
        <v>0</v>
      </c>
      <c r="T80" s="37"/>
      <c r="U80" s="44"/>
      <c r="V80" s="45"/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52</v>
      </c>
      <c r="C81" s="63" t="str">
        <f t="shared" si="16"/>
        <v>POL19961008</v>
      </c>
      <c r="D81" s="64" t="str">
        <f t="shared" si="17"/>
        <v>ZLOTOWICZ Patryk</v>
      </c>
      <c r="E81" s="65" t="str">
        <f t="shared" si="18"/>
        <v>KLUCZBORK</v>
      </c>
      <c r="F81" s="66" t="str">
        <f t="shared" si="19"/>
        <v>OPO-016</v>
      </c>
      <c r="G81" s="67" t="str">
        <f t="shared" si="20"/>
        <v>JUNIOR</v>
      </c>
      <c r="H81" s="67" t="str">
        <f t="shared" si="21"/>
        <v>GLI</v>
      </c>
      <c r="I81" s="199">
        <f t="shared" si="22"/>
        <v>7.8287037037037044E-2</v>
      </c>
      <c r="J81" s="31">
        <f t="shared" si="23"/>
        <v>4.745370370370372E-4</v>
      </c>
      <c r="K81" s="31"/>
      <c r="P81" s="36">
        <v>70</v>
      </c>
      <c r="Q81" s="43">
        <v>52</v>
      </c>
      <c r="R81" s="41">
        <v>7.8287037037037044E-2</v>
      </c>
      <c r="S81" s="35">
        <v>0</v>
      </c>
      <c r="T81" s="37"/>
      <c r="U81" s="44"/>
      <c r="V81" s="45"/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105</v>
      </c>
      <c r="C82" s="63" t="str">
        <f t="shared" si="16"/>
        <v>CZE19960511</v>
      </c>
      <c r="D82" s="64" t="str">
        <f t="shared" si="17"/>
        <v xml:space="preserve">RAJCHART Jan </v>
      </c>
      <c r="E82" s="65" t="str">
        <f t="shared" si="18"/>
        <v xml:space="preserve">NUTREND SPECIALIZED RACING </v>
      </c>
      <c r="F82" s="66">
        <f t="shared" si="19"/>
        <v>7437</v>
      </c>
      <c r="G82" s="67" t="str">
        <f t="shared" si="20"/>
        <v>JUNIOR</v>
      </c>
      <c r="H82" s="67" t="str">
        <f t="shared" si="21"/>
        <v>LOU</v>
      </c>
      <c r="I82" s="199">
        <f t="shared" si="22"/>
        <v>7.8287037037037044E-2</v>
      </c>
      <c r="J82" s="31">
        <f t="shared" si="23"/>
        <v>4.745370370370372E-4</v>
      </c>
      <c r="K82" s="31"/>
      <c r="P82" s="36">
        <v>71</v>
      </c>
      <c r="Q82" s="43">
        <v>105</v>
      </c>
      <c r="R82" s="41">
        <v>7.8287037037037044E-2</v>
      </c>
      <c r="S82" s="35">
        <v>0</v>
      </c>
      <c r="T82" s="37"/>
      <c r="U82" s="44"/>
      <c r="V82" s="45"/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56</v>
      </c>
      <c r="C83" s="63" t="str">
        <f t="shared" si="16"/>
        <v>POL19970322</v>
      </c>
      <c r="D83" s="64" t="str">
        <f t="shared" si="17"/>
        <v>FOLTYN Maciej</v>
      </c>
      <c r="E83" s="65" t="str">
        <f t="shared" si="18"/>
        <v>GRUPA KOLARSKA GLIWICE BA</v>
      </c>
      <c r="F83" s="66" t="str">
        <f t="shared" si="19"/>
        <v>SLA219</v>
      </c>
      <c r="G83" s="67" t="str">
        <f t="shared" si="20"/>
        <v>JUNIOR*</v>
      </c>
      <c r="H83" s="67" t="str">
        <f t="shared" si="21"/>
        <v>GLI</v>
      </c>
      <c r="I83" s="199">
        <f t="shared" si="22"/>
        <v>7.8287037037037044E-2</v>
      </c>
      <c r="J83" s="31">
        <f t="shared" si="23"/>
        <v>4.745370370370372E-4</v>
      </c>
      <c r="K83" s="31"/>
      <c r="P83" s="36">
        <v>72</v>
      </c>
      <c r="Q83" s="43">
        <v>56</v>
      </c>
      <c r="R83" s="41">
        <v>7.8287037037037044E-2</v>
      </c>
      <c r="S83" s="35">
        <v>0</v>
      </c>
      <c r="T83" s="37"/>
      <c r="U83" s="44"/>
      <c r="V83" s="45"/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58</v>
      </c>
      <c r="C84" s="63" t="str">
        <f t="shared" si="16"/>
        <v>CZE19970902</v>
      </c>
      <c r="D84" s="64" t="str">
        <f t="shared" si="17"/>
        <v xml:space="preserve">VÝVODA Jan </v>
      </c>
      <c r="E84" s="65" t="str">
        <f t="shared" si="18"/>
        <v xml:space="preserve">TJ SIGMA HRANICE </v>
      </c>
      <c r="F84" s="66">
        <f t="shared" si="19"/>
        <v>7780</v>
      </c>
      <c r="G84" s="67" t="str">
        <f t="shared" si="20"/>
        <v>JUNIOR*</v>
      </c>
      <c r="H84" s="67" t="str">
        <f t="shared" si="21"/>
        <v>GLI</v>
      </c>
      <c r="I84" s="199">
        <f t="shared" si="22"/>
        <v>7.8287037037037044E-2</v>
      </c>
      <c r="J84" s="31">
        <f t="shared" si="23"/>
        <v>4.745370370370372E-4</v>
      </c>
      <c r="K84" s="31"/>
      <c r="P84" s="36">
        <v>73</v>
      </c>
      <c r="Q84" s="43">
        <v>58</v>
      </c>
      <c r="R84" s="41">
        <v>7.8287037037037044E-2</v>
      </c>
      <c r="S84" s="35">
        <v>0</v>
      </c>
      <c r="T84" s="37"/>
      <c r="U84" s="44"/>
      <c r="V84" s="45"/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187</v>
      </c>
      <c r="C85" s="63" t="str">
        <f t="shared" si="16"/>
        <v>AUT19970913</v>
      </c>
      <c r="D85" s="64" t="str">
        <f t="shared" si="17"/>
        <v>DALLINGER Christian</v>
      </c>
      <c r="E85" s="65" t="str">
        <f t="shared" si="18"/>
        <v xml:space="preserve">LRV STEIERMARK </v>
      </c>
      <c r="F85" s="66">
        <f t="shared" si="19"/>
        <v>100350</v>
      </c>
      <c r="G85" s="67" t="str">
        <f t="shared" si="20"/>
        <v>JUNIOR*</v>
      </c>
      <c r="H85" s="67" t="str">
        <f t="shared" si="21"/>
        <v>LRV</v>
      </c>
      <c r="I85" s="199">
        <f t="shared" si="22"/>
        <v>7.8287037037037044E-2</v>
      </c>
      <c r="J85" s="31">
        <f t="shared" si="23"/>
        <v>4.745370370370372E-4</v>
      </c>
      <c r="K85" s="31"/>
      <c r="P85" s="36">
        <v>74</v>
      </c>
      <c r="Q85" s="43">
        <v>187</v>
      </c>
      <c r="R85" s="41">
        <v>7.8287037037037044E-2</v>
      </c>
      <c r="S85" s="35">
        <v>0</v>
      </c>
      <c r="T85" s="37"/>
      <c r="U85" s="44"/>
      <c r="V85" s="45"/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 t="shared" si="16"/>
        <v>CZE19970118</v>
      </c>
      <c r="D86" s="64" t="str">
        <f t="shared" si="17"/>
        <v>MAYER Daniel</v>
      </c>
      <c r="E86" s="65" t="str">
        <f t="shared" si="18"/>
        <v>KC HLINSKO</v>
      </c>
      <c r="F86" s="66">
        <f t="shared" si="19"/>
        <v>13274</v>
      </c>
      <c r="G86" s="67" t="str">
        <f t="shared" si="20"/>
        <v>JUNIOR*</v>
      </c>
      <c r="H86" s="67" t="str">
        <f t="shared" si="21"/>
        <v>SKC</v>
      </c>
      <c r="I86" s="199">
        <f t="shared" si="22"/>
        <v>7.8287037037037044E-2</v>
      </c>
      <c r="J86" s="31">
        <f t="shared" si="23"/>
        <v>4.745370370370372E-4</v>
      </c>
      <c r="K86" s="31"/>
      <c r="P86" s="36">
        <v>75</v>
      </c>
      <c r="Q86" s="43">
        <v>125</v>
      </c>
      <c r="R86" s="41">
        <v>7.8287037037037044E-2</v>
      </c>
      <c r="S86" s="35">
        <v>0</v>
      </c>
      <c r="T86" s="37"/>
      <c r="U86" s="44"/>
      <c r="V86" s="45"/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31</v>
      </c>
      <c r="C87" s="63" t="str">
        <f t="shared" si="16"/>
        <v>CZE19960423</v>
      </c>
      <c r="D87" s="64" t="str">
        <f t="shared" si="17"/>
        <v xml:space="preserve">MORÁVEK Zdeněk </v>
      </c>
      <c r="E87" s="65" t="str">
        <f t="shared" si="18"/>
        <v>ALLTRAINING.CZ</v>
      </c>
      <c r="F87" s="66">
        <f t="shared" si="19"/>
        <v>19314</v>
      </c>
      <c r="G87" s="67" t="str">
        <f t="shared" si="20"/>
        <v>JUNIOR</v>
      </c>
      <c r="H87" s="67" t="str">
        <f t="shared" si="21"/>
        <v>REM</v>
      </c>
      <c r="I87" s="199">
        <f t="shared" si="22"/>
        <v>7.8287037037037044E-2</v>
      </c>
      <c r="J87" s="31">
        <f t="shared" si="23"/>
        <v>4.745370370370372E-4</v>
      </c>
      <c r="K87" s="31"/>
      <c r="P87" s="36">
        <v>76</v>
      </c>
      <c r="Q87" s="43">
        <v>31</v>
      </c>
      <c r="R87" s="41">
        <v>7.8287037037037044E-2</v>
      </c>
      <c r="S87" s="35">
        <v>0</v>
      </c>
      <c r="T87" s="37"/>
      <c r="U87" s="44"/>
      <c r="V87" s="45"/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21</v>
      </c>
      <c r="C88" s="63" t="str">
        <f t="shared" si="16"/>
        <v>GER19960322</v>
      </c>
      <c r="D88" s="64" t="str">
        <f t="shared" si="17"/>
        <v>DICKEL Jorge</v>
      </c>
      <c r="E88" s="65" t="str">
        <f t="shared" si="18"/>
        <v>RG BERLIN</v>
      </c>
      <c r="F88" s="66" t="str">
        <f t="shared" si="19"/>
        <v>03.15928.12</v>
      </c>
      <c r="G88" s="67" t="str">
        <f t="shared" si="20"/>
        <v>JUNIOR</v>
      </c>
      <c r="H88" s="67" t="str">
        <f t="shared" si="21"/>
        <v>RGB</v>
      </c>
      <c r="I88" s="199">
        <f t="shared" si="22"/>
        <v>7.8287037037037044E-2</v>
      </c>
      <c r="J88" s="31">
        <f t="shared" si="23"/>
        <v>4.745370370370372E-4</v>
      </c>
      <c r="K88" s="31"/>
      <c r="P88" s="36">
        <v>77</v>
      </c>
      <c r="Q88" s="43">
        <v>21</v>
      </c>
      <c r="R88" s="41">
        <v>7.8287037037037044E-2</v>
      </c>
      <c r="S88" s="35">
        <v>0</v>
      </c>
      <c r="T88" s="37"/>
      <c r="U88" s="44"/>
      <c r="V88" s="45"/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152</v>
      </c>
      <c r="C89" s="63" t="str">
        <f t="shared" si="16"/>
        <v>CZE19970417</v>
      </c>
      <c r="D89" s="64" t="str">
        <f t="shared" si="17"/>
        <v>KUBEŠ Martin</v>
      </c>
      <c r="E89" s="65" t="str">
        <f t="shared" si="18"/>
        <v>CK DACOM PHARMA KYJOV</v>
      </c>
      <c r="F89" s="66">
        <f t="shared" si="19"/>
        <v>13287</v>
      </c>
      <c r="G89" s="67" t="str">
        <f t="shared" si="20"/>
        <v>JUNIOR*</v>
      </c>
      <c r="H89" s="67" t="str">
        <f t="shared" si="21"/>
        <v>SKC</v>
      </c>
      <c r="I89" s="199">
        <f t="shared" si="22"/>
        <v>7.8287037037037044E-2</v>
      </c>
      <c r="J89" s="31">
        <f t="shared" si="23"/>
        <v>4.745370370370372E-4</v>
      </c>
      <c r="K89" s="31"/>
      <c r="P89" s="36">
        <v>78</v>
      </c>
      <c r="Q89" s="43">
        <v>152</v>
      </c>
      <c r="R89" s="41">
        <v>7.8287037037037044E-2</v>
      </c>
      <c r="S89" s="35">
        <v>0</v>
      </c>
      <c r="T89" s="37"/>
      <c r="U89" s="44"/>
      <c r="V89" s="45"/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142</v>
      </c>
      <c r="C90" s="63" t="str">
        <f t="shared" si="16"/>
        <v>CZE19971022</v>
      </c>
      <c r="D90" s="64" t="str">
        <f t="shared" si="17"/>
        <v xml:space="preserve">KLEVETA Jakub </v>
      </c>
      <c r="E90" s="65" t="str">
        <f t="shared" si="18"/>
        <v xml:space="preserve">MAPEI CYKLO KAŇKOVSKÝ </v>
      </c>
      <c r="F90" s="66">
        <f t="shared" si="19"/>
        <v>10284</v>
      </c>
      <c r="G90" s="67" t="str">
        <f t="shared" si="20"/>
        <v>JUNIOR*</v>
      </c>
      <c r="H90" s="67" t="str">
        <f t="shared" si="21"/>
        <v>MAP</v>
      </c>
      <c r="I90" s="199">
        <f t="shared" si="22"/>
        <v>7.8287037037037044E-2</v>
      </c>
      <c r="J90" s="31">
        <f t="shared" si="23"/>
        <v>4.745370370370372E-4</v>
      </c>
      <c r="K90" s="31"/>
      <c r="P90" s="36">
        <v>79</v>
      </c>
      <c r="Q90" s="43">
        <v>142</v>
      </c>
      <c r="R90" s="41">
        <v>7.8287037037037044E-2</v>
      </c>
      <c r="S90" s="35">
        <v>0</v>
      </c>
      <c r="T90" s="37"/>
      <c r="U90" s="44"/>
      <c r="V90" s="45"/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144</v>
      </c>
      <c r="C91" s="63" t="str">
        <f t="shared" si="16"/>
        <v>CZE19961220</v>
      </c>
      <c r="D91" s="64" t="str">
        <f t="shared" si="17"/>
        <v xml:space="preserve">LOVEČEK Adam </v>
      </c>
      <c r="E91" s="65" t="str">
        <f t="shared" si="18"/>
        <v xml:space="preserve">MAPEI CYKLO KAŇKOVSKÝ </v>
      </c>
      <c r="F91" s="66">
        <f t="shared" si="19"/>
        <v>19339</v>
      </c>
      <c r="G91" s="67" t="str">
        <f t="shared" si="20"/>
        <v>JUNIOR</v>
      </c>
      <c r="H91" s="67" t="str">
        <f t="shared" si="21"/>
        <v>MAP</v>
      </c>
      <c r="I91" s="199">
        <f t="shared" si="22"/>
        <v>7.8287037037037044E-2</v>
      </c>
      <c r="J91" s="31">
        <f t="shared" si="23"/>
        <v>4.745370370370372E-4</v>
      </c>
      <c r="K91" s="31"/>
      <c r="P91" s="36">
        <v>80</v>
      </c>
      <c r="Q91" s="43">
        <v>144</v>
      </c>
      <c r="R91" s="41">
        <v>7.8287037037037044E-2</v>
      </c>
      <c r="S91" s="35">
        <v>0</v>
      </c>
      <c r="T91" s="37"/>
      <c r="U91" s="44"/>
      <c r="V91" s="45"/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82</v>
      </c>
      <c r="C92" s="63" t="str">
        <f t="shared" si="16"/>
        <v>CZE19960127</v>
      </c>
      <c r="D92" s="64" t="str">
        <f t="shared" si="17"/>
        <v xml:space="preserve">ŠIPOŠ Marek </v>
      </c>
      <c r="E92" s="65" t="str">
        <f t="shared" si="18"/>
        <v xml:space="preserve">TJ KOVO PRAHA </v>
      </c>
      <c r="F92" s="66">
        <f t="shared" si="19"/>
        <v>17984</v>
      </c>
      <c r="G92" s="67" t="str">
        <f t="shared" si="20"/>
        <v>JUNIOR</v>
      </c>
      <c r="H92" s="67" t="str">
        <f t="shared" si="21"/>
        <v>KOV</v>
      </c>
      <c r="I92" s="199">
        <f t="shared" si="22"/>
        <v>7.8287037037037044E-2</v>
      </c>
      <c r="J92" s="31">
        <f t="shared" si="23"/>
        <v>4.745370370370372E-4</v>
      </c>
      <c r="K92" s="31"/>
      <c r="P92" s="36">
        <v>81</v>
      </c>
      <c r="Q92" s="43">
        <v>82</v>
      </c>
      <c r="R92" s="41">
        <v>7.8287037037037044E-2</v>
      </c>
      <c r="S92" s="35">
        <v>0</v>
      </c>
      <c r="T92" s="37"/>
      <c r="U92" s="44"/>
      <c r="V92" s="45"/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107</v>
      </c>
      <c r="C93" s="63" t="str">
        <f t="shared" si="16"/>
        <v>CZE19970110</v>
      </c>
      <c r="D93" s="64" t="str">
        <f t="shared" si="17"/>
        <v xml:space="preserve">KŘIKAVA Jakub </v>
      </c>
      <c r="E93" s="65" t="str">
        <f t="shared" si="18"/>
        <v xml:space="preserve">TJ ZČE CYKLISTIKA PLZEŇ </v>
      </c>
      <c r="F93" s="66">
        <f t="shared" si="19"/>
        <v>9167</v>
      </c>
      <c r="G93" s="67" t="str">
        <f t="shared" si="20"/>
        <v>JUNIOR*</v>
      </c>
      <c r="H93" s="67" t="str">
        <f t="shared" si="21"/>
        <v>LOU</v>
      </c>
      <c r="I93" s="199">
        <f t="shared" si="22"/>
        <v>7.8287037037037044E-2</v>
      </c>
      <c r="J93" s="31">
        <f t="shared" si="23"/>
        <v>4.745370370370372E-4</v>
      </c>
      <c r="K93" s="31"/>
      <c r="P93" s="36">
        <v>82</v>
      </c>
      <c r="Q93" s="43">
        <v>107</v>
      </c>
      <c r="R93" s="41">
        <v>7.8287037037037044E-2</v>
      </c>
      <c r="S93" s="35">
        <v>0</v>
      </c>
      <c r="T93" s="37"/>
      <c r="U93" s="44"/>
      <c r="V93" s="45"/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145</v>
      </c>
      <c r="C94" s="63" t="str">
        <f t="shared" si="16"/>
        <v>CZE19961105</v>
      </c>
      <c r="D94" s="64" t="str">
        <f t="shared" si="17"/>
        <v xml:space="preserve">MUŽ Jan </v>
      </c>
      <c r="E94" s="65" t="str">
        <f t="shared" si="18"/>
        <v xml:space="preserve">MAPEI CYKLO KAŇKOVSKÝ </v>
      </c>
      <c r="F94" s="66">
        <f t="shared" si="19"/>
        <v>19338</v>
      </c>
      <c r="G94" s="67" t="str">
        <f t="shared" si="20"/>
        <v>JUNIOR</v>
      </c>
      <c r="H94" s="67" t="str">
        <f t="shared" si="21"/>
        <v>MAP</v>
      </c>
      <c r="I94" s="199">
        <f t="shared" si="22"/>
        <v>7.8287037037037044E-2</v>
      </c>
      <c r="J94" s="31">
        <f t="shared" si="23"/>
        <v>4.745370370370372E-4</v>
      </c>
      <c r="K94" s="31"/>
      <c r="P94" s="36">
        <v>83</v>
      </c>
      <c r="Q94" s="43">
        <v>145</v>
      </c>
      <c r="R94" s="41">
        <v>7.8287037037037044E-2</v>
      </c>
      <c r="S94" s="35">
        <v>0</v>
      </c>
      <c r="T94" s="37"/>
      <c r="U94" s="44"/>
      <c r="V94" s="45"/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141</v>
      </c>
      <c r="C95" s="63" t="str">
        <f t="shared" si="16"/>
        <v>CZE19960716</v>
      </c>
      <c r="D95" s="64" t="str">
        <f t="shared" si="17"/>
        <v xml:space="preserve">HYNEK Matouš </v>
      </c>
      <c r="E95" s="65" t="str">
        <f t="shared" si="18"/>
        <v xml:space="preserve">MAPEI CYKLO KAŇKOVSKÝ </v>
      </c>
      <c r="F95" s="66">
        <f t="shared" si="19"/>
        <v>7803</v>
      </c>
      <c r="G95" s="67" t="str">
        <f t="shared" si="20"/>
        <v>JUNIOR</v>
      </c>
      <c r="H95" s="67" t="str">
        <f t="shared" si="21"/>
        <v>MAP</v>
      </c>
      <c r="I95" s="199">
        <f t="shared" si="22"/>
        <v>7.8287037037037044E-2</v>
      </c>
      <c r="J95" s="31">
        <f t="shared" si="23"/>
        <v>4.745370370370372E-4</v>
      </c>
      <c r="K95" s="31"/>
      <c r="P95" s="36">
        <v>84</v>
      </c>
      <c r="Q95" s="43">
        <v>141</v>
      </c>
      <c r="R95" s="41">
        <v>7.8287037037037044E-2</v>
      </c>
      <c r="S95" s="35">
        <v>0</v>
      </c>
      <c r="T95" s="37"/>
      <c r="U95" s="44"/>
      <c r="V95" s="45"/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81</v>
      </c>
      <c r="C96" s="63" t="str">
        <f t="shared" si="16"/>
        <v>CZE19980303</v>
      </c>
      <c r="D96" s="64" t="str">
        <f t="shared" si="17"/>
        <v xml:space="preserve">KOUDELA Dominik </v>
      </c>
      <c r="E96" s="65" t="str">
        <f t="shared" si="18"/>
        <v xml:space="preserve">TJ KOVO PRAHA </v>
      </c>
      <c r="F96" s="66">
        <f t="shared" si="19"/>
        <v>13590</v>
      </c>
      <c r="G96" s="67" t="str">
        <f t="shared" si="20"/>
        <v>CADET</v>
      </c>
      <c r="H96" s="67" t="str">
        <f t="shared" si="21"/>
        <v>KOV</v>
      </c>
      <c r="I96" s="199">
        <f t="shared" si="22"/>
        <v>7.8287037037037044E-2</v>
      </c>
      <c r="J96" s="31">
        <f t="shared" si="23"/>
        <v>4.745370370370372E-4</v>
      </c>
      <c r="K96" s="31"/>
      <c r="P96" s="36">
        <v>85</v>
      </c>
      <c r="Q96" s="43">
        <v>81</v>
      </c>
      <c r="R96" s="41">
        <v>7.8287037037037044E-2</v>
      </c>
      <c r="S96" s="35">
        <v>0</v>
      </c>
      <c r="T96" s="37"/>
      <c r="U96" s="44"/>
      <c r="V96" s="45"/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32</v>
      </c>
      <c r="C97" s="63" t="str">
        <f t="shared" si="16"/>
        <v>CZE19970916</v>
      </c>
      <c r="D97" s="64" t="str">
        <f t="shared" si="17"/>
        <v xml:space="preserve">KUNT Lukáš </v>
      </c>
      <c r="E97" s="65" t="str">
        <f t="shared" si="18"/>
        <v xml:space="preserve">REMERX - MERIDA TEAM KOLÍN </v>
      </c>
      <c r="F97" s="66">
        <f t="shared" si="19"/>
        <v>14658</v>
      </c>
      <c r="G97" s="67" t="str">
        <f t="shared" si="20"/>
        <v>JUNIOR*</v>
      </c>
      <c r="H97" s="67" t="str">
        <f t="shared" si="21"/>
        <v>REM</v>
      </c>
      <c r="I97" s="199">
        <f t="shared" si="22"/>
        <v>7.8287037037037044E-2</v>
      </c>
      <c r="J97" s="31">
        <f t="shared" si="23"/>
        <v>4.745370370370372E-4</v>
      </c>
      <c r="K97" s="31"/>
      <c r="P97" s="36">
        <v>86</v>
      </c>
      <c r="Q97" s="43">
        <v>32</v>
      </c>
      <c r="R97" s="41">
        <v>7.8287037037037044E-2</v>
      </c>
      <c r="S97" s="35">
        <v>0</v>
      </c>
      <c r="T97" s="37"/>
      <c r="U97" s="44"/>
      <c r="V97" s="45"/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44</v>
      </c>
      <c r="C98" s="63" t="str">
        <f t="shared" si="16"/>
        <v>CZE19960213</v>
      </c>
      <c r="D98" s="64" t="str">
        <f t="shared" si="17"/>
        <v xml:space="preserve">JUREČKA Jiří </v>
      </c>
      <c r="E98" s="65" t="str">
        <f t="shared" si="18"/>
        <v>KC KOOPERATIVA SG JABLONEC N.N</v>
      </c>
      <c r="F98" s="66">
        <f t="shared" si="19"/>
        <v>5366</v>
      </c>
      <c r="G98" s="67" t="str">
        <f t="shared" si="20"/>
        <v>JUNIOR</v>
      </c>
      <c r="H98" s="67" t="str">
        <f t="shared" si="21"/>
        <v>KOO</v>
      </c>
      <c r="I98" s="199">
        <f t="shared" si="22"/>
        <v>7.8287037037037044E-2</v>
      </c>
      <c r="J98" s="31">
        <f t="shared" si="23"/>
        <v>4.745370370370372E-4</v>
      </c>
      <c r="K98" s="31"/>
      <c r="P98" s="36">
        <v>87</v>
      </c>
      <c r="Q98" s="43">
        <v>44</v>
      </c>
      <c r="R98" s="41">
        <v>7.8287037037037044E-2</v>
      </c>
      <c r="S98" s="35">
        <v>0</v>
      </c>
      <c r="T98" s="37"/>
      <c r="U98" s="44"/>
      <c r="V98" s="45"/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75</v>
      </c>
      <c r="C99" s="63" t="str">
        <f t="shared" si="16"/>
        <v>SVK19981117</v>
      </c>
      <c r="D99" s="64" t="str">
        <f t="shared" si="17"/>
        <v>ZEMAN Alex</v>
      </c>
      <c r="E99" s="65" t="str">
        <f t="shared" si="18"/>
        <v>SLÁVIA ŠG TRENČÍN</v>
      </c>
      <c r="F99" s="66">
        <f t="shared" si="19"/>
        <v>6021</v>
      </c>
      <c r="G99" s="67" t="str">
        <f t="shared" si="20"/>
        <v>CADET</v>
      </c>
      <c r="H99" s="67" t="str">
        <f t="shared" si="21"/>
        <v>SLA</v>
      </c>
      <c r="I99" s="199">
        <f t="shared" si="22"/>
        <v>7.8287037037037044E-2</v>
      </c>
      <c r="J99" s="31">
        <f t="shared" si="23"/>
        <v>4.745370370370372E-4</v>
      </c>
      <c r="K99" s="31"/>
      <c r="P99" s="36">
        <v>88</v>
      </c>
      <c r="Q99" s="43">
        <v>75</v>
      </c>
      <c r="R99" s="41">
        <v>7.8287037037037044E-2</v>
      </c>
      <c r="S99" s="35">
        <v>0</v>
      </c>
      <c r="T99" s="37"/>
      <c r="U99" s="44"/>
      <c r="V99" s="45"/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10</v>
      </c>
      <c r="C100" s="63" t="str">
        <f t="shared" si="16"/>
        <v>GER19970316</v>
      </c>
      <c r="D100" s="64" t="str">
        <f t="shared" si="17"/>
        <v>WELTZ Niclas</v>
      </c>
      <c r="E100" s="65" t="str">
        <f t="shared" si="18"/>
        <v>RSC TURBINE ERFURT</v>
      </c>
      <c r="F100" s="66" t="str">
        <f t="shared" si="19"/>
        <v>THÜ173103</v>
      </c>
      <c r="G100" s="67" t="str">
        <f t="shared" si="20"/>
        <v>JUNIOR*</v>
      </c>
      <c r="H100" s="67" t="str">
        <f t="shared" si="21"/>
        <v>TUR</v>
      </c>
      <c r="I100" s="199">
        <f t="shared" si="22"/>
        <v>7.8287037037037044E-2</v>
      </c>
      <c r="J100" s="31">
        <f t="shared" si="23"/>
        <v>4.745370370370372E-4</v>
      </c>
      <c r="K100" s="31"/>
      <c r="P100" s="36">
        <v>89</v>
      </c>
      <c r="Q100" s="43">
        <v>10</v>
      </c>
      <c r="R100" s="41">
        <v>7.8287037037037044E-2</v>
      </c>
      <c r="S100" s="35">
        <v>0</v>
      </c>
      <c r="T100" s="37"/>
      <c r="U100" s="44"/>
      <c r="V100" s="45"/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172</v>
      </c>
      <c r="C101" s="63" t="str">
        <f t="shared" si="16"/>
        <v>SVK19971030</v>
      </c>
      <c r="D101" s="64" t="str">
        <f t="shared" si="17"/>
        <v>ZIMANY Kristian</v>
      </c>
      <c r="E101" s="65" t="str">
        <f t="shared" si="18"/>
        <v xml:space="preserve">SLOVAK CYCLING FEDERATION </v>
      </c>
      <c r="F101" s="66">
        <f t="shared" si="19"/>
        <v>5765</v>
      </c>
      <c r="G101" s="67" t="str">
        <f t="shared" si="20"/>
        <v>JUNIOR*</v>
      </c>
      <c r="H101" s="67" t="str">
        <f t="shared" si="21"/>
        <v>SVK</v>
      </c>
      <c r="I101" s="199">
        <f t="shared" si="22"/>
        <v>7.8287037037037044E-2</v>
      </c>
      <c r="J101" s="31">
        <f t="shared" si="23"/>
        <v>4.745370370370372E-4</v>
      </c>
      <c r="K101" s="31"/>
      <c r="P101" s="36">
        <v>90</v>
      </c>
      <c r="Q101" s="43">
        <v>172</v>
      </c>
      <c r="R101" s="41">
        <v>7.8287037037037044E-2</v>
      </c>
      <c r="S101" s="35">
        <v>0</v>
      </c>
      <c r="T101" s="37"/>
      <c r="U101" s="44"/>
      <c r="V101" s="45"/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35</v>
      </c>
      <c r="C102" s="63" t="str">
        <f t="shared" si="16"/>
        <v>CZE19970320</v>
      </c>
      <c r="D102" s="64" t="str">
        <f t="shared" si="17"/>
        <v xml:space="preserve">KUTIŠ Martin </v>
      </c>
      <c r="E102" s="65" t="str">
        <f t="shared" si="18"/>
        <v>ALLTRAINING.CZ</v>
      </c>
      <c r="F102" s="66">
        <f t="shared" si="19"/>
        <v>19969</v>
      </c>
      <c r="G102" s="67" t="str">
        <f t="shared" si="20"/>
        <v>JUNIOR*</v>
      </c>
      <c r="H102" s="67" t="str">
        <f t="shared" si="21"/>
        <v>REM</v>
      </c>
      <c r="I102" s="199">
        <f t="shared" si="22"/>
        <v>7.8287037037037044E-2</v>
      </c>
      <c r="J102" s="31">
        <f t="shared" si="23"/>
        <v>4.745370370370372E-4</v>
      </c>
      <c r="K102" s="31"/>
      <c r="P102" s="36">
        <v>91</v>
      </c>
      <c r="Q102" s="43">
        <v>35</v>
      </c>
      <c r="R102" s="41">
        <v>7.8287037037037044E-2</v>
      </c>
      <c r="S102" s="35">
        <v>0</v>
      </c>
      <c r="T102" s="37"/>
      <c r="U102" s="44"/>
      <c r="V102" s="45"/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183</v>
      </c>
      <c r="C103" s="63" t="str">
        <f t="shared" si="16"/>
        <v>AUT19961121</v>
      </c>
      <c r="D103" s="64" t="str">
        <f t="shared" si="17"/>
        <v>KROGER Klemens</v>
      </c>
      <c r="E103" s="65" t="str">
        <f t="shared" si="18"/>
        <v xml:space="preserve">LRV STEIERMARK </v>
      </c>
      <c r="F103" s="66">
        <f t="shared" si="19"/>
        <v>100828</v>
      </c>
      <c r="G103" s="67" t="str">
        <f t="shared" si="20"/>
        <v>JUNIOR</v>
      </c>
      <c r="H103" s="67" t="str">
        <f t="shared" si="21"/>
        <v>LRV</v>
      </c>
      <c r="I103" s="199">
        <f t="shared" si="22"/>
        <v>7.8287037037037044E-2</v>
      </c>
      <c r="J103" s="31">
        <f t="shared" si="23"/>
        <v>4.745370370370372E-4</v>
      </c>
      <c r="K103" s="31"/>
      <c r="P103" s="36">
        <v>92</v>
      </c>
      <c r="Q103" s="43">
        <v>183</v>
      </c>
      <c r="R103" s="41">
        <v>7.8287037037037044E-2</v>
      </c>
      <c r="S103" s="35">
        <v>0</v>
      </c>
      <c r="T103" s="37"/>
      <c r="U103" s="44"/>
      <c r="V103" s="45"/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 t="shared" si="16"/>
        <v>POL19970608</v>
      </c>
      <c r="D104" s="64" t="str">
        <f t="shared" si="17"/>
        <v>BISKUP Bartosz</v>
      </c>
      <c r="E104" s="65" t="str">
        <f t="shared" si="18"/>
        <v xml:space="preserve">DSR AUTHOR GÓRNIK WAŁBRZYCH </v>
      </c>
      <c r="F104" s="66" t="str">
        <f t="shared" si="19"/>
        <v>DLS272</v>
      </c>
      <c r="G104" s="67" t="str">
        <f t="shared" si="20"/>
        <v>JUNIOR*</v>
      </c>
      <c r="H104" s="67" t="str">
        <f t="shared" si="21"/>
        <v>GOR</v>
      </c>
      <c r="I104" s="199">
        <f t="shared" si="22"/>
        <v>7.8287037037037044E-2</v>
      </c>
      <c r="J104" s="31">
        <f t="shared" si="23"/>
        <v>4.745370370370372E-4</v>
      </c>
      <c r="K104" s="31"/>
      <c r="P104" s="36">
        <v>93</v>
      </c>
      <c r="Q104" s="43">
        <v>65</v>
      </c>
      <c r="R104" s="41">
        <v>7.8287037037037044E-2</v>
      </c>
      <c r="S104" s="35">
        <v>0</v>
      </c>
      <c r="T104" s="37"/>
      <c r="U104" s="44"/>
      <c r="V104" s="45"/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41</v>
      </c>
      <c r="C105" s="63" t="str">
        <f t="shared" si="16"/>
        <v>CZE19960310</v>
      </c>
      <c r="D105" s="64" t="str">
        <f t="shared" si="17"/>
        <v xml:space="preserve">ŠULC Jakub </v>
      </c>
      <c r="E105" s="65" t="str">
        <f t="shared" si="18"/>
        <v xml:space="preserve">KOLA-BBM.CZ </v>
      </c>
      <c r="F105" s="66">
        <f t="shared" si="19"/>
        <v>3358</v>
      </c>
      <c r="G105" s="67" t="str">
        <f t="shared" si="20"/>
        <v>JUNIOR</v>
      </c>
      <c r="H105" s="67" t="str">
        <f t="shared" si="21"/>
        <v>KOO</v>
      </c>
      <c r="I105" s="199">
        <f t="shared" si="22"/>
        <v>7.8287037037037044E-2</v>
      </c>
      <c r="J105" s="31">
        <f t="shared" si="23"/>
        <v>4.745370370370372E-4</v>
      </c>
      <c r="K105" s="31"/>
      <c r="P105" s="36">
        <v>94</v>
      </c>
      <c r="Q105" s="43">
        <v>41</v>
      </c>
      <c r="R105" s="41">
        <v>7.8287037037037044E-2</v>
      </c>
      <c r="S105" s="35">
        <v>0</v>
      </c>
      <c r="T105" s="37"/>
      <c r="U105" s="44"/>
      <c r="V105" s="45"/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73</v>
      </c>
      <c r="C106" s="63" t="str">
        <f t="shared" si="16"/>
        <v>SVK19970207</v>
      </c>
      <c r="D106" s="64" t="str">
        <f t="shared" si="17"/>
        <v>GAVENDA Miroslav</v>
      </c>
      <c r="E106" s="65" t="str">
        <f t="shared" si="18"/>
        <v>SLÁVIA ŠG TRENČÍN</v>
      </c>
      <c r="F106" s="66">
        <f t="shared" si="19"/>
        <v>6366</v>
      </c>
      <c r="G106" s="67" t="str">
        <f t="shared" si="20"/>
        <v>JUNIOR*</v>
      </c>
      <c r="H106" s="67" t="str">
        <f t="shared" si="21"/>
        <v>SLA</v>
      </c>
      <c r="I106" s="199">
        <f t="shared" si="22"/>
        <v>7.8287037037037044E-2</v>
      </c>
      <c r="J106" s="31">
        <f t="shared" si="23"/>
        <v>4.745370370370372E-4</v>
      </c>
      <c r="K106" s="31"/>
      <c r="P106" s="36">
        <v>95</v>
      </c>
      <c r="Q106" s="43">
        <v>73</v>
      </c>
      <c r="R106" s="41">
        <v>7.8287037037037044E-2</v>
      </c>
      <c r="S106" s="35">
        <v>0</v>
      </c>
      <c r="T106" s="37"/>
      <c r="U106" s="44"/>
      <c r="V106" s="45"/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184</v>
      </c>
      <c r="C107" s="63" t="str">
        <f t="shared" si="16"/>
        <v>AUT19961024</v>
      </c>
      <c r="D107" s="64" t="str">
        <f t="shared" si="17"/>
        <v>STATTMANN Lukas</v>
      </c>
      <c r="E107" s="65" t="str">
        <f t="shared" si="18"/>
        <v xml:space="preserve">LRV STEIERMARK </v>
      </c>
      <c r="F107" s="66">
        <f t="shared" si="19"/>
        <v>100830</v>
      </c>
      <c r="G107" s="67" t="str">
        <f t="shared" si="20"/>
        <v>JUNIOR</v>
      </c>
      <c r="H107" s="67" t="str">
        <f t="shared" si="21"/>
        <v>LRV</v>
      </c>
      <c r="I107" s="199">
        <f t="shared" si="22"/>
        <v>7.8287037037037044E-2</v>
      </c>
      <c r="J107" s="31">
        <f t="shared" si="23"/>
        <v>4.745370370370372E-4</v>
      </c>
      <c r="K107" s="31"/>
      <c r="P107" s="36">
        <v>96</v>
      </c>
      <c r="Q107" s="43">
        <v>184</v>
      </c>
      <c r="R107" s="41">
        <v>7.8287037037037044E-2</v>
      </c>
      <c r="S107" s="35">
        <v>0</v>
      </c>
      <c r="T107" s="37"/>
      <c r="U107" s="44"/>
      <c r="V107" s="45"/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95</v>
      </c>
      <c r="C108" s="63" t="str">
        <f t="shared" ref="C108:C139" si="24">VLOOKUP(B108,STARTOVKA,2,0)</f>
        <v>CZE19970813</v>
      </c>
      <c r="D108" s="64" t="str">
        <f t="shared" ref="D108:D141" si="25">VLOOKUP(B108,STARTOVKA,3,0)</f>
        <v xml:space="preserve">LAFUNTÁL Robert </v>
      </c>
      <c r="E108" s="65" t="str">
        <f t="shared" ref="E108:E141" si="26">VLOOKUP(B108,STARTOVKA,4,0)</f>
        <v xml:space="preserve">TJ FAVORIT BRNO </v>
      </c>
      <c r="F108" s="66">
        <f t="shared" ref="F108:F141" si="27">VLOOKUP(B108,STARTOVKA,5,0)</f>
        <v>13204</v>
      </c>
      <c r="G108" s="67" t="str">
        <f t="shared" ref="G108:G141" si="28">VLOOKUP(B108,STARTOVKA,6,0)</f>
        <v>JUNIOR*</v>
      </c>
      <c r="H108" s="67" t="str">
        <f t="shared" ref="H108:H141" si="29">VLOOKUP(B108,STARTOVKA,7,0)</f>
        <v>FAV</v>
      </c>
      <c r="I108" s="199">
        <f t="shared" ref="I108:I129" si="30">SUM(R108,V108,Z108,AD108)-SUM(S108,W108,AA108,AE108)+AF108</f>
        <v>7.8287037037037044E-2</v>
      </c>
      <c r="J108" s="31">
        <f t="shared" ref="J108:J129" si="31">I108-$I$12</f>
        <v>4.745370370370372E-4</v>
      </c>
      <c r="K108" s="31"/>
      <c r="P108" s="36">
        <v>97</v>
      </c>
      <c r="Q108" s="43">
        <v>95</v>
      </c>
      <c r="R108" s="41">
        <v>7.8287037037037044E-2</v>
      </c>
      <c r="S108" s="35">
        <v>0</v>
      </c>
      <c r="T108" s="37"/>
      <c r="U108" s="44"/>
      <c r="V108" s="45"/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13</v>
      </c>
      <c r="C109" s="63" t="str">
        <f t="shared" si="24"/>
        <v>GER19970125</v>
      </c>
      <c r="D109" s="64" t="str">
        <f t="shared" si="25"/>
        <v>FRANZ Toni</v>
      </c>
      <c r="E109" s="65" t="str">
        <f t="shared" si="26"/>
        <v>JUNIOREN SCHWALBE TEAM SACHSEN</v>
      </c>
      <c r="F109" s="66" t="str">
        <f t="shared" si="27"/>
        <v xml:space="preserve">SAC 134961 </v>
      </c>
      <c r="G109" s="67" t="str">
        <f t="shared" si="28"/>
        <v>JUNIOR*</v>
      </c>
      <c r="H109" s="67" t="str">
        <f t="shared" si="29"/>
        <v>SCW</v>
      </c>
      <c r="I109" s="199">
        <f t="shared" si="30"/>
        <v>7.8287037037037044E-2</v>
      </c>
      <c r="J109" s="31">
        <f t="shared" si="31"/>
        <v>4.745370370370372E-4</v>
      </c>
      <c r="K109" s="31"/>
      <c r="P109" s="36">
        <v>98</v>
      </c>
      <c r="Q109" s="43">
        <v>13</v>
      </c>
      <c r="R109" s="41">
        <v>7.8287037037037044E-2</v>
      </c>
      <c r="S109" s="35">
        <v>0</v>
      </c>
      <c r="T109" s="37"/>
      <c r="U109" s="44"/>
      <c r="V109" s="45"/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50</v>
      </c>
      <c r="C110" s="63" t="str">
        <f t="shared" si="24"/>
        <v>CZE19960203</v>
      </c>
      <c r="D110" s="64" t="str">
        <f t="shared" si="25"/>
        <v xml:space="preserve">VRÁNA Dominik </v>
      </c>
      <c r="E110" s="65" t="str">
        <f t="shared" si="26"/>
        <v>KC KOOPERATIVA SG JABLONEC N.N</v>
      </c>
      <c r="F110" s="66">
        <f t="shared" si="27"/>
        <v>8884</v>
      </c>
      <c r="G110" s="67" t="str">
        <f t="shared" si="28"/>
        <v>JUNIOR</v>
      </c>
      <c r="H110" s="67" t="str">
        <f t="shared" si="29"/>
        <v>KOO</v>
      </c>
      <c r="I110" s="199">
        <f t="shared" si="30"/>
        <v>7.8287037037037044E-2</v>
      </c>
      <c r="J110" s="31">
        <f t="shared" si="31"/>
        <v>4.745370370370372E-4</v>
      </c>
      <c r="K110" s="31"/>
      <c r="P110" s="36">
        <v>99</v>
      </c>
      <c r="Q110" s="43">
        <v>50</v>
      </c>
      <c r="R110" s="41">
        <v>7.8287037037037044E-2</v>
      </c>
      <c r="S110" s="35">
        <v>0</v>
      </c>
      <c r="T110" s="37"/>
      <c r="U110" s="44"/>
      <c r="V110" s="45"/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59</v>
      </c>
      <c r="C111" s="63" t="str">
        <f t="shared" si="24"/>
        <v>CZE19960727</v>
      </c>
      <c r="D111" s="64" t="str">
        <f t="shared" si="25"/>
        <v xml:space="preserve">PREJDA Václav </v>
      </c>
      <c r="E111" s="65" t="str">
        <f t="shared" si="26"/>
        <v xml:space="preserve">SK JIŘÍ TEAM OSTRAVA </v>
      </c>
      <c r="F111" s="66">
        <f t="shared" si="27"/>
        <v>16035</v>
      </c>
      <c r="G111" s="67" t="str">
        <f t="shared" si="28"/>
        <v>JUNIOR</v>
      </c>
      <c r="H111" s="67" t="str">
        <f t="shared" si="29"/>
        <v>GLI</v>
      </c>
      <c r="I111" s="199">
        <f t="shared" si="30"/>
        <v>7.8287037037037044E-2</v>
      </c>
      <c r="J111" s="31">
        <f t="shared" si="31"/>
        <v>4.745370370370372E-4</v>
      </c>
      <c r="K111" s="31"/>
      <c r="P111" s="36">
        <v>107</v>
      </c>
      <c r="Q111" s="43">
        <v>59</v>
      </c>
      <c r="R111" s="41">
        <v>7.8287037037037044E-2</v>
      </c>
      <c r="S111" s="35">
        <v>0</v>
      </c>
      <c r="T111" s="37"/>
      <c r="U111" s="44"/>
      <c r="V111" s="45"/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131</v>
      </c>
      <c r="C112" s="63" t="str">
        <f t="shared" si="24"/>
        <v>AUT19961107</v>
      </c>
      <c r="D112" s="64" t="str">
        <f t="shared" si="25"/>
        <v>FÜHRER Alexander</v>
      </c>
      <c r="E112" s="65" t="str">
        <f t="shared" si="26"/>
        <v>RLM WIEN</v>
      </c>
      <c r="F112" s="66">
        <f t="shared" si="27"/>
        <v>100020</v>
      </c>
      <c r="G112" s="67" t="str">
        <f t="shared" si="28"/>
        <v>JUNIOR</v>
      </c>
      <c r="H112" s="67" t="str">
        <f t="shared" si="29"/>
        <v>RCA</v>
      </c>
      <c r="I112" s="199">
        <f t="shared" si="30"/>
        <v>7.8287037037037044E-2</v>
      </c>
      <c r="J112" s="31">
        <f t="shared" si="31"/>
        <v>4.745370370370372E-4</v>
      </c>
      <c r="K112" s="31"/>
      <c r="P112" s="36">
        <v>108</v>
      </c>
      <c r="Q112" s="43">
        <v>131</v>
      </c>
      <c r="R112" s="41">
        <v>7.8287037037037044E-2</v>
      </c>
      <c r="S112" s="35">
        <v>0</v>
      </c>
      <c r="T112" s="37"/>
      <c r="U112" s="44"/>
      <c r="V112" s="45"/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23</v>
      </c>
      <c r="C113" s="63" t="str">
        <f t="shared" si="24"/>
        <v>GER19981211</v>
      </c>
      <c r="D113" s="64" t="str">
        <f t="shared" si="25"/>
        <v>POUL Rudolph</v>
      </c>
      <c r="E113" s="65" t="str">
        <f t="shared" si="26"/>
        <v>RG BERLIN</v>
      </c>
      <c r="F113" s="66" t="str">
        <f t="shared" si="27"/>
        <v>BER 032411</v>
      </c>
      <c r="G113" s="67" t="str">
        <f t="shared" si="28"/>
        <v>CADET</v>
      </c>
      <c r="H113" s="67" t="str">
        <f t="shared" si="29"/>
        <v>RGB</v>
      </c>
      <c r="I113" s="199">
        <f t="shared" si="30"/>
        <v>7.8287037037037044E-2</v>
      </c>
      <c r="J113" s="31">
        <f t="shared" si="31"/>
        <v>4.745370370370372E-4</v>
      </c>
      <c r="K113" s="31"/>
      <c r="P113" s="36">
        <v>112</v>
      </c>
      <c r="Q113" s="43">
        <v>23</v>
      </c>
      <c r="R113" s="41">
        <v>7.8287037037037044E-2</v>
      </c>
      <c r="S113" s="35">
        <v>0</v>
      </c>
      <c r="T113" s="37"/>
      <c r="U113" s="44"/>
      <c r="V113" s="45"/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11</v>
      </c>
      <c r="C114" s="63" t="str">
        <f t="shared" si="24"/>
        <v>GER19961026</v>
      </c>
      <c r="D114" s="64" t="str">
        <f t="shared" si="25"/>
        <v>FRANZ Paul</v>
      </c>
      <c r="E114" s="65" t="str">
        <f t="shared" si="26"/>
        <v>JUNIOREN SCHWALBE TEAM SACHSEN</v>
      </c>
      <c r="F114" s="66" t="str">
        <f t="shared" si="27"/>
        <v>SAC 134886</v>
      </c>
      <c r="G114" s="67" t="str">
        <f t="shared" si="28"/>
        <v>JUNIOR</v>
      </c>
      <c r="H114" s="67" t="str">
        <f t="shared" si="29"/>
        <v>SCW</v>
      </c>
      <c r="I114" s="199">
        <f t="shared" si="30"/>
        <v>7.8287037037037044E-2</v>
      </c>
      <c r="J114" s="31">
        <f t="shared" si="31"/>
        <v>4.745370370370372E-4</v>
      </c>
      <c r="K114" s="31"/>
      <c r="P114" s="36">
        <v>113</v>
      </c>
      <c r="Q114" s="43">
        <v>11</v>
      </c>
      <c r="R114" s="41">
        <v>7.8287037037037044E-2</v>
      </c>
      <c r="S114" s="35">
        <v>0</v>
      </c>
      <c r="T114" s="37"/>
      <c r="U114" s="44"/>
      <c r="V114" s="45"/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</v>
      </c>
      <c r="C115" s="63" t="str">
        <f t="shared" si="24"/>
        <v>GER19980114</v>
      </c>
      <c r="D115" s="64" t="str">
        <f t="shared" si="25"/>
        <v>BONNES Julius</v>
      </c>
      <c r="E115" s="65" t="str">
        <f t="shared" si="26"/>
        <v>JUNIOREN SCHWALBE TEAM SACHSEN</v>
      </c>
      <c r="F115" s="66" t="str">
        <f t="shared" si="27"/>
        <v>SAC 142150</v>
      </c>
      <c r="G115" s="67" t="str">
        <f t="shared" si="28"/>
        <v>CADET</v>
      </c>
      <c r="H115" s="67" t="str">
        <f t="shared" si="29"/>
        <v>SCW</v>
      </c>
      <c r="I115" s="199">
        <f t="shared" si="30"/>
        <v>7.8321759259259258E-2</v>
      </c>
      <c r="J115" s="31">
        <f t="shared" si="31"/>
        <v>5.0925925925925097E-4</v>
      </c>
      <c r="K115" s="31"/>
      <c r="P115" s="36">
        <v>100</v>
      </c>
      <c r="Q115" s="43">
        <v>15</v>
      </c>
      <c r="R115" s="41">
        <v>7.8321759259259258E-2</v>
      </c>
      <c r="S115" s="35">
        <v>0</v>
      </c>
      <c r="T115" s="37"/>
      <c r="U115" s="44"/>
      <c r="V115" s="45"/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16</v>
      </c>
      <c r="C116" s="63" t="str">
        <f t="shared" si="24"/>
        <v>GER19981217</v>
      </c>
      <c r="D116" s="64" t="str">
        <f t="shared" si="25"/>
        <v>ZÖTTLER Jacob</v>
      </c>
      <c r="E116" s="65" t="str">
        <f t="shared" si="26"/>
        <v>JUNIOREN SCHWALBE TEAM SACHSEN</v>
      </c>
      <c r="F116" s="66" t="str">
        <f t="shared" si="27"/>
        <v>SAC 135443</v>
      </c>
      <c r="G116" s="67" t="str">
        <f t="shared" si="28"/>
        <v>CADET</v>
      </c>
      <c r="H116" s="67" t="str">
        <f t="shared" si="29"/>
        <v>SCW</v>
      </c>
      <c r="I116" s="199">
        <f t="shared" si="30"/>
        <v>7.8321759259259258E-2</v>
      </c>
      <c r="J116" s="31">
        <f t="shared" si="31"/>
        <v>5.0925925925925097E-4</v>
      </c>
      <c r="K116" s="31"/>
      <c r="P116" s="36">
        <v>101</v>
      </c>
      <c r="Q116" s="43">
        <v>16</v>
      </c>
      <c r="R116" s="41">
        <v>7.8321759259259258E-2</v>
      </c>
      <c r="S116" s="35">
        <v>0</v>
      </c>
      <c r="T116" s="37"/>
      <c r="U116" s="44"/>
      <c r="V116" s="45"/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43</v>
      </c>
      <c r="C117" s="63" t="str">
        <f t="shared" si="24"/>
        <v>CZE19990209</v>
      </c>
      <c r="D117" s="64" t="str">
        <f t="shared" si="25"/>
        <v xml:space="preserve">HONZÁK David </v>
      </c>
      <c r="E117" s="65" t="str">
        <f t="shared" si="26"/>
        <v>KC KOOPERATIVA SG JABLONEC N.N</v>
      </c>
      <c r="F117" s="66">
        <f t="shared" si="27"/>
        <v>14334</v>
      </c>
      <c r="G117" s="67" t="str">
        <f t="shared" si="28"/>
        <v>CADET*</v>
      </c>
      <c r="H117" s="67" t="str">
        <f t="shared" si="29"/>
        <v>KOO</v>
      </c>
      <c r="I117" s="199">
        <f t="shared" si="30"/>
        <v>7.8321759259259258E-2</v>
      </c>
      <c r="J117" s="31">
        <f t="shared" si="31"/>
        <v>5.0925925925925097E-4</v>
      </c>
      <c r="K117" s="31"/>
      <c r="P117" s="36">
        <v>102</v>
      </c>
      <c r="Q117" s="43">
        <v>43</v>
      </c>
      <c r="R117" s="41">
        <v>7.8321759259259258E-2</v>
      </c>
      <c r="S117" s="35">
        <v>0</v>
      </c>
      <c r="T117" s="37"/>
      <c r="U117" s="44"/>
      <c r="V117" s="45"/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71</v>
      </c>
      <c r="C118" s="63" t="str">
        <f t="shared" si="24"/>
        <v>SVK19970730</v>
      </c>
      <c r="D118" s="64" t="str">
        <f t="shared" si="25"/>
        <v>MEŇUŠ Tomáš</v>
      </c>
      <c r="E118" s="65" t="str">
        <f t="shared" si="26"/>
        <v>CYCLING ACADEMY BRATISLAVA</v>
      </c>
      <c r="F118" s="66">
        <f t="shared" si="27"/>
        <v>6668</v>
      </c>
      <c r="G118" s="67" t="str">
        <f t="shared" si="28"/>
        <v>JUNIOR*</v>
      </c>
      <c r="H118" s="67" t="str">
        <f t="shared" si="29"/>
        <v>SLA</v>
      </c>
      <c r="I118" s="199">
        <f t="shared" si="30"/>
        <v>7.8321759259259258E-2</v>
      </c>
      <c r="J118" s="31">
        <f t="shared" si="31"/>
        <v>5.0925925925925097E-4</v>
      </c>
      <c r="K118" s="31"/>
      <c r="P118" s="36">
        <v>103</v>
      </c>
      <c r="Q118" s="43">
        <v>71</v>
      </c>
      <c r="R118" s="41">
        <v>7.8321759259259258E-2</v>
      </c>
      <c r="S118" s="35">
        <v>0</v>
      </c>
      <c r="T118" s="37"/>
      <c r="U118" s="44"/>
      <c r="V118" s="45"/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153</v>
      </c>
      <c r="C119" s="63" t="str">
        <f t="shared" si="24"/>
        <v>CZE19960707</v>
      </c>
      <c r="D119" s="64" t="str">
        <f t="shared" si="25"/>
        <v>SAXA Lukáš</v>
      </c>
      <c r="E119" s="65" t="str">
        <f t="shared" si="26"/>
        <v>STEVENS ZNOJMO</v>
      </c>
      <c r="F119" s="66">
        <f t="shared" si="27"/>
        <v>20125</v>
      </c>
      <c r="G119" s="67" t="str">
        <f t="shared" si="28"/>
        <v>JUNIOR</v>
      </c>
      <c r="H119" s="67" t="str">
        <f t="shared" si="29"/>
        <v>SKC</v>
      </c>
      <c r="I119" s="199">
        <f t="shared" si="30"/>
        <v>7.8321759259259258E-2</v>
      </c>
      <c r="J119" s="31">
        <f t="shared" si="31"/>
        <v>5.0925925925925097E-4</v>
      </c>
      <c r="K119" s="31"/>
      <c r="P119" s="36">
        <v>104</v>
      </c>
      <c r="Q119" s="43">
        <v>153</v>
      </c>
      <c r="R119" s="41">
        <v>7.8321759259259258E-2</v>
      </c>
      <c r="S119" s="35">
        <v>0</v>
      </c>
      <c r="T119" s="37"/>
      <c r="U119" s="44"/>
      <c r="V119" s="45"/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9</v>
      </c>
      <c r="C120" s="63" t="str">
        <f t="shared" si="24"/>
        <v>GER19980730</v>
      </c>
      <c r="D120" s="64" t="str">
        <f t="shared" si="25"/>
        <v>PLUNTKE Moritz</v>
      </c>
      <c r="E120" s="65" t="str">
        <f t="shared" si="26"/>
        <v>RSC TURBINE ERFURT</v>
      </c>
      <c r="F120" s="66" t="str">
        <f t="shared" si="27"/>
        <v>THÜ173593</v>
      </c>
      <c r="G120" s="67" t="str">
        <f t="shared" si="28"/>
        <v>CADET</v>
      </c>
      <c r="H120" s="67" t="str">
        <f t="shared" si="29"/>
        <v>TUR</v>
      </c>
      <c r="I120" s="199">
        <f t="shared" si="30"/>
        <v>7.8680555555555545E-2</v>
      </c>
      <c r="J120" s="31">
        <f t="shared" si="31"/>
        <v>8.6805555555553859E-4</v>
      </c>
      <c r="K120" s="31"/>
      <c r="P120" s="36">
        <v>105</v>
      </c>
      <c r="Q120" s="43">
        <v>9</v>
      </c>
      <c r="R120" s="41">
        <v>7.8680555555555545E-2</v>
      </c>
      <c r="S120" s="35">
        <v>0</v>
      </c>
      <c r="T120" s="37"/>
      <c r="U120" s="44"/>
      <c r="V120" s="45"/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122</v>
      </c>
      <c r="C121" s="63" t="str">
        <f t="shared" si="24"/>
        <v>CZE19971201</v>
      </c>
      <c r="D121" s="64" t="str">
        <f t="shared" si="25"/>
        <v xml:space="preserve">CHYTIL Daniel </v>
      </c>
      <c r="E121" s="65" t="str">
        <f t="shared" si="26"/>
        <v xml:space="preserve">SKC TUFO PROSTĚJOV </v>
      </c>
      <c r="F121" s="66">
        <f t="shared" si="27"/>
        <v>13150</v>
      </c>
      <c r="G121" s="67" t="str">
        <f t="shared" si="28"/>
        <v>JUNIOR*</v>
      </c>
      <c r="H121" s="67" t="str">
        <f t="shared" si="29"/>
        <v>SKC</v>
      </c>
      <c r="I121" s="199">
        <f t="shared" si="30"/>
        <v>7.8831018518518522E-2</v>
      </c>
      <c r="J121" s="31">
        <f t="shared" si="31"/>
        <v>1.0185185185185158E-3</v>
      </c>
      <c r="K121" s="31"/>
      <c r="P121" s="36">
        <v>106</v>
      </c>
      <c r="Q121" s="43">
        <v>122</v>
      </c>
      <c r="R121" s="41">
        <v>7.8831018518518522E-2</v>
      </c>
      <c r="S121" s="35">
        <v>0</v>
      </c>
      <c r="T121" s="37"/>
      <c r="U121" s="44"/>
      <c r="V121" s="45"/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47</v>
      </c>
      <c r="C122" s="63" t="str">
        <f t="shared" si="24"/>
        <v>CZE19960509</v>
      </c>
      <c r="D122" s="64" t="str">
        <f t="shared" si="25"/>
        <v xml:space="preserve">PRENĚK Ondřej </v>
      </c>
      <c r="E122" s="65" t="str">
        <f t="shared" si="26"/>
        <v>KC KOOPERATIVA SG JABLONEC N.N</v>
      </c>
      <c r="F122" s="66">
        <f t="shared" si="27"/>
        <v>19279</v>
      </c>
      <c r="G122" s="67" t="str">
        <f t="shared" si="28"/>
        <v>JUNIOR</v>
      </c>
      <c r="H122" s="67" t="str">
        <f t="shared" si="29"/>
        <v>KOO</v>
      </c>
      <c r="I122" s="199">
        <f t="shared" si="30"/>
        <v>7.9548611111111112E-2</v>
      </c>
      <c r="J122" s="31">
        <f t="shared" si="31"/>
        <v>1.7361111111111049E-3</v>
      </c>
      <c r="K122" s="31"/>
      <c r="P122" s="36">
        <v>109</v>
      </c>
      <c r="Q122" s="43">
        <v>47</v>
      </c>
      <c r="R122" s="41">
        <v>7.9548611111111112E-2</v>
      </c>
      <c r="S122" s="35">
        <v>0</v>
      </c>
      <c r="T122" s="37"/>
      <c r="U122" s="44"/>
      <c r="V122" s="45"/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 t="shared" si="24"/>
        <v>AUT19970406</v>
      </c>
      <c r="D123" s="64" t="str">
        <f t="shared" si="25"/>
        <v>WINTER Stefan</v>
      </c>
      <c r="E123" s="65" t="str">
        <f t="shared" si="26"/>
        <v xml:space="preserve">LRV STEIERMARK </v>
      </c>
      <c r="F123" s="66">
        <f t="shared" si="27"/>
        <v>100838</v>
      </c>
      <c r="G123" s="67" t="str">
        <f t="shared" si="28"/>
        <v>JUNIOR*</v>
      </c>
      <c r="H123" s="67" t="str">
        <f t="shared" si="29"/>
        <v>LRV</v>
      </c>
      <c r="I123" s="199">
        <f t="shared" si="30"/>
        <v>8.3749999999999991E-2</v>
      </c>
      <c r="J123" s="31">
        <f t="shared" si="31"/>
        <v>5.9374999999999845E-3</v>
      </c>
      <c r="K123" s="31"/>
      <c r="P123" s="36">
        <v>110</v>
      </c>
      <c r="Q123" s="43">
        <v>186</v>
      </c>
      <c r="R123" s="41">
        <v>8.3749999999999991E-2</v>
      </c>
      <c r="S123" s="35">
        <v>0</v>
      </c>
      <c r="T123" s="37"/>
      <c r="U123" s="44"/>
      <c r="V123" s="45"/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135</v>
      </c>
      <c r="C124" s="63" t="str">
        <f t="shared" si="24"/>
        <v>AUT19970502</v>
      </c>
      <c r="D124" s="64" t="str">
        <f t="shared" si="25"/>
        <v>RECKENDORFER Lukas</v>
      </c>
      <c r="E124" s="65" t="str">
        <f t="shared" si="26"/>
        <v>RC ARBÖ WELS GOURMETFEIN</v>
      </c>
      <c r="F124" s="66">
        <f t="shared" si="27"/>
        <v>100756</v>
      </c>
      <c r="G124" s="67" t="str">
        <f t="shared" si="28"/>
        <v>JUNIOR*</v>
      </c>
      <c r="H124" s="67" t="str">
        <f t="shared" si="29"/>
        <v>RCA</v>
      </c>
      <c r="I124" s="199">
        <f t="shared" si="30"/>
        <v>8.3749999999999991E-2</v>
      </c>
      <c r="J124" s="31">
        <f t="shared" si="31"/>
        <v>5.9374999999999845E-3</v>
      </c>
      <c r="K124" s="31"/>
      <c r="P124" s="36">
        <v>111</v>
      </c>
      <c r="Q124" s="43">
        <v>135</v>
      </c>
      <c r="R124" s="41">
        <v>8.3749999999999991E-2</v>
      </c>
      <c r="S124" s="35">
        <v>0</v>
      </c>
      <c r="T124" s="37"/>
      <c r="U124" s="44"/>
      <c r="V124" s="45"/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54</v>
      </c>
      <c r="C125" s="63" t="str">
        <f t="shared" si="24"/>
        <v>POL19960621</v>
      </c>
      <c r="D125" s="64" t="str">
        <f t="shared" si="25"/>
        <v>TROSZOK Robert</v>
      </c>
      <c r="E125" s="65" t="str">
        <f t="shared" si="26"/>
        <v>GRUPA KOLARSKA GLIWICE BA</v>
      </c>
      <c r="F125" s="66" t="str">
        <f t="shared" si="27"/>
        <v>SLA231</v>
      </c>
      <c r="G125" s="67" t="str">
        <f t="shared" si="28"/>
        <v>JUNIOR</v>
      </c>
      <c r="H125" s="67" t="str">
        <f t="shared" si="29"/>
        <v>GLI</v>
      </c>
      <c r="I125" s="199">
        <f t="shared" si="30"/>
        <v>8.6064814814814816E-2</v>
      </c>
      <c r="J125" s="31">
        <f t="shared" si="31"/>
        <v>8.2523148148148096E-3</v>
      </c>
      <c r="K125" s="31"/>
      <c r="P125" s="36">
        <v>114</v>
      </c>
      <c r="Q125" s="43">
        <v>54</v>
      </c>
      <c r="R125" s="41">
        <v>8.6064814814814816E-2</v>
      </c>
      <c r="S125" s="35">
        <v>0</v>
      </c>
      <c r="T125" s="37"/>
      <c r="U125" s="44"/>
      <c r="V125" s="45"/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72</v>
      </c>
      <c r="C126" s="63" t="str">
        <f t="shared" si="24"/>
        <v>SVK19960505</v>
      </c>
      <c r="D126" s="64" t="str">
        <f t="shared" si="25"/>
        <v>GANC Marek</v>
      </c>
      <c r="E126" s="65" t="str">
        <f t="shared" si="26"/>
        <v>SLÁVIA ŠG TRENČÍN</v>
      </c>
      <c r="F126" s="66">
        <f t="shared" si="27"/>
        <v>5847</v>
      </c>
      <c r="G126" s="67" t="str">
        <f t="shared" si="28"/>
        <v>JUNIOR</v>
      </c>
      <c r="H126" s="67" t="str">
        <f t="shared" si="29"/>
        <v>SLA</v>
      </c>
      <c r="I126" s="199">
        <f t="shared" si="30"/>
        <v>8.7870370370370376E-2</v>
      </c>
      <c r="J126" s="31">
        <f t="shared" si="31"/>
        <v>1.005787037037037E-2</v>
      </c>
      <c r="K126" s="31"/>
      <c r="P126" s="36">
        <v>115</v>
      </c>
      <c r="Q126" s="43">
        <v>72</v>
      </c>
      <c r="R126" s="41">
        <v>8.7870370370370376E-2</v>
      </c>
      <c r="S126" s="35">
        <v>0</v>
      </c>
      <c r="T126" s="37"/>
      <c r="U126" s="44"/>
      <c r="V126" s="45"/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46</v>
      </c>
      <c r="C127" s="63" t="str">
        <f t="shared" si="24"/>
        <v>CZE19980811</v>
      </c>
      <c r="D127" s="64" t="str">
        <f t="shared" si="25"/>
        <v xml:space="preserve">NOVOTNÝ Jakub </v>
      </c>
      <c r="E127" s="65" t="str">
        <f t="shared" si="26"/>
        <v>KC KOOPERATIVA SG JABLONEC N.N</v>
      </c>
      <c r="F127" s="66">
        <f t="shared" si="27"/>
        <v>19278</v>
      </c>
      <c r="G127" s="67" t="str">
        <f t="shared" si="28"/>
        <v>CADET</v>
      </c>
      <c r="H127" s="67" t="str">
        <f t="shared" si="29"/>
        <v>KOO</v>
      </c>
      <c r="I127" s="199">
        <f t="shared" si="30"/>
        <v>8.7870370370370376E-2</v>
      </c>
      <c r="J127" s="31">
        <f t="shared" si="31"/>
        <v>1.005787037037037E-2</v>
      </c>
      <c r="K127" s="31"/>
      <c r="P127" s="36">
        <v>116</v>
      </c>
      <c r="Q127" s="43">
        <v>46</v>
      </c>
      <c r="R127" s="41">
        <v>8.7870370370370376E-2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103</v>
      </c>
      <c r="C128" s="63" t="str">
        <f t="shared" si="24"/>
        <v>CZE19970319</v>
      </c>
      <c r="D128" s="64" t="str">
        <f t="shared" si="25"/>
        <v xml:space="preserve">NEUMAN Daniel </v>
      </c>
      <c r="E128" s="65" t="str">
        <f t="shared" si="26"/>
        <v xml:space="preserve">TJ STADION LOUNY </v>
      </c>
      <c r="F128" s="66">
        <f t="shared" si="27"/>
        <v>9610</v>
      </c>
      <c r="G128" s="67" t="str">
        <f t="shared" si="28"/>
        <v>JUNIOR*</v>
      </c>
      <c r="H128" s="67" t="str">
        <f t="shared" si="29"/>
        <v>LOU</v>
      </c>
      <c r="I128" s="199">
        <f t="shared" si="30"/>
        <v>8.7870370370370376E-2</v>
      </c>
      <c r="J128" s="31">
        <f t="shared" si="31"/>
        <v>1.005787037037037E-2</v>
      </c>
      <c r="K128" s="31"/>
      <c r="P128" s="36">
        <v>117</v>
      </c>
      <c r="Q128" s="43">
        <v>103</v>
      </c>
      <c r="R128" s="41">
        <v>8.7870370370370376E-2</v>
      </c>
      <c r="S128" s="35">
        <v>0</v>
      </c>
      <c r="T128" s="37"/>
      <c r="U128" s="44"/>
      <c r="V128" s="45"/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>
        <v>118</v>
      </c>
      <c r="B129" s="99">
        <v>74</v>
      </c>
      <c r="C129" s="63" t="str">
        <f t="shared" si="24"/>
        <v>SVK19980324</v>
      </c>
      <c r="D129" s="64" t="str">
        <f t="shared" si="25"/>
        <v>KOVÁČ Milan</v>
      </c>
      <c r="E129" s="65" t="str">
        <f t="shared" si="26"/>
        <v>SLÁVIA ŠG TRENČÍN</v>
      </c>
      <c r="F129" s="66">
        <f t="shared" si="27"/>
        <v>5908</v>
      </c>
      <c r="G129" s="67" t="str">
        <f t="shared" si="28"/>
        <v>CADET</v>
      </c>
      <c r="H129" s="67" t="str">
        <f t="shared" si="29"/>
        <v>SLA</v>
      </c>
      <c r="I129" s="199">
        <f t="shared" si="30"/>
        <v>8.7870370370370376E-2</v>
      </c>
      <c r="J129" s="31">
        <f t="shared" si="31"/>
        <v>1.005787037037037E-2</v>
      </c>
      <c r="K129" s="31"/>
      <c r="P129" s="36">
        <v>118</v>
      </c>
      <c r="Q129" s="43">
        <v>74</v>
      </c>
      <c r="R129" s="41">
        <v>8.7870370370370376E-2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>
        <v>119</v>
      </c>
      <c r="B130" s="99">
        <v>1</v>
      </c>
      <c r="C130" s="63" t="str">
        <f t="shared" si="24"/>
        <v>GER19970725</v>
      </c>
      <c r="D130" s="64" t="str">
        <f t="shared" si="25"/>
        <v>MAGDEBURG Tobias</v>
      </c>
      <c r="E130" s="65" t="str">
        <f t="shared" si="26"/>
        <v>RSV SONNEBERG</v>
      </c>
      <c r="F130" s="66" t="str">
        <f t="shared" si="27"/>
        <v>THÜ173735</v>
      </c>
      <c r="G130" s="67" t="str">
        <f t="shared" si="28"/>
        <v>JUNIOR*</v>
      </c>
      <c r="H130" s="67" t="str">
        <f t="shared" si="29"/>
        <v>TUR</v>
      </c>
      <c r="I130" s="199" t="s">
        <v>121</v>
      </c>
      <c r="J130" s="31"/>
      <c r="K130" s="31"/>
      <c r="P130" s="36"/>
      <c r="Q130" s="43">
        <v>1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>
        <v>120</v>
      </c>
      <c r="B131" s="99">
        <v>33</v>
      </c>
      <c r="C131" s="63" t="str">
        <f t="shared" si="24"/>
        <v>CZE19970913</v>
      </c>
      <c r="D131" s="64" t="str">
        <f t="shared" si="25"/>
        <v xml:space="preserve">VOJÍŘ Jaroslav </v>
      </c>
      <c r="E131" s="65" t="str">
        <f t="shared" si="26"/>
        <v xml:space="preserve">REMERX - MERIDA TEAM KOLÍN </v>
      </c>
      <c r="F131" s="66">
        <f t="shared" si="27"/>
        <v>12178</v>
      </c>
      <c r="G131" s="67" t="str">
        <f t="shared" si="28"/>
        <v>JUNIOR*</v>
      </c>
      <c r="H131" s="67" t="str">
        <f t="shared" si="29"/>
        <v>REM</v>
      </c>
      <c r="I131" s="199" t="s">
        <v>121</v>
      </c>
      <c r="J131" s="31"/>
      <c r="K131" s="31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>
        <v>121</v>
      </c>
      <c r="B132" s="99">
        <v>61</v>
      </c>
      <c r="C132" s="63" t="str">
        <f t="shared" si="24"/>
        <v>POL19960305</v>
      </c>
      <c r="D132" s="64" t="str">
        <f t="shared" si="25"/>
        <v>PRZEWIĘDA Paweł</v>
      </c>
      <c r="E132" s="65" t="str">
        <f t="shared" si="26"/>
        <v xml:space="preserve">DSR AUTHOR GÓRNIK WAŁBRZYCH </v>
      </c>
      <c r="F132" s="66" t="str">
        <f t="shared" si="27"/>
        <v>DLS177</v>
      </c>
      <c r="G132" s="67" t="str">
        <f t="shared" si="28"/>
        <v>JUNIOR</v>
      </c>
      <c r="H132" s="67" t="str">
        <f t="shared" si="29"/>
        <v>GOR</v>
      </c>
      <c r="I132" s="199" t="s">
        <v>121</v>
      </c>
      <c r="J132" s="31"/>
      <c r="K132" s="31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>
        <v>122</v>
      </c>
      <c r="B133" s="99">
        <v>64</v>
      </c>
      <c r="C133" s="63" t="str">
        <f t="shared" si="24"/>
        <v>POL19960504</v>
      </c>
      <c r="D133" s="64" t="str">
        <f t="shared" si="25"/>
        <v>POLKOWSKI Bartłomiej</v>
      </c>
      <c r="E133" s="65" t="str">
        <f t="shared" si="26"/>
        <v xml:space="preserve">DSR AUTHOR GÓRNIK WAŁBRZYCH </v>
      </c>
      <c r="F133" s="66" t="str">
        <f t="shared" si="27"/>
        <v>DLS162</v>
      </c>
      <c r="G133" s="67" t="str">
        <f t="shared" si="28"/>
        <v>JUNIOR</v>
      </c>
      <c r="H133" s="67" t="str">
        <f t="shared" si="29"/>
        <v>GOR</v>
      </c>
      <c r="I133" s="199" t="s">
        <v>121</v>
      </c>
      <c r="J133" s="31"/>
      <c r="K133" s="31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>
        <v>123</v>
      </c>
      <c r="B134" s="99">
        <v>66</v>
      </c>
      <c r="C134" s="63" t="str">
        <f t="shared" si="24"/>
        <v>POL19980719</v>
      </c>
      <c r="D134" s="64" t="str">
        <f t="shared" si="25"/>
        <v>NOWAK Michał</v>
      </c>
      <c r="E134" s="65" t="str">
        <f t="shared" si="26"/>
        <v xml:space="preserve">DSR AUTHOR GÓRNIK WAŁBRZYCH </v>
      </c>
      <c r="F134" s="66" t="str">
        <f t="shared" si="27"/>
        <v>DLS163</v>
      </c>
      <c r="G134" s="67" t="str">
        <f t="shared" si="28"/>
        <v>CADET</v>
      </c>
      <c r="H134" s="67" t="str">
        <f t="shared" si="29"/>
        <v>GOR</v>
      </c>
      <c r="I134" s="199" t="s">
        <v>121</v>
      </c>
      <c r="J134" s="31"/>
      <c r="K134" s="31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>
        <v>124</v>
      </c>
      <c r="B135" s="99">
        <v>91</v>
      </c>
      <c r="C135" s="63" t="str">
        <f t="shared" si="24"/>
        <v>CZE19970324</v>
      </c>
      <c r="D135" s="64" t="str">
        <f t="shared" si="25"/>
        <v xml:space="preserve">DUBOVSKÝ Jakub </v>
      </c>
      <c r="E135" s="65" t="str">
        <f t="shared" si="26"/>
        <v xml:space="preserve">TJ FAVORIT BRNO </v>
      </c>
      <c r="F135" s="66">
        <f t="shared" si="27"/>
        <v>13738</v>
      </c>
      <c r="G135" s="67" t="str">
        <f t="shared" si="28"/>
        <v>JUNIOR*</v>
      </c>
      <c r="H135" s="67" t="str">
        <f t="shared" si="29"/>
        <v>FAV</v>
      </c>
      <c r="I135" s="199" t="s">
        <v>121</v>
      </c>
      <c r="J135" s="31"/>
      <c r="K135" s="31"/>
      <c r="P135" s="36"/>
      <c r="Q135" s="43">
        <v>91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>
        <v>125</v>
      </c>
      <c r="B136" s="99">
        <v>92</v>
      </c>
      <c r="C136" s="63" t="str">
        <f t="shared" si="24"/>
        <v>CZE19970414</v>
      </c>
      <c r="D136" s="64" t="str">
        <f t="shared" si="25"/>
        <v xml:space="preserve">DVOŘÁK Jakub </v>
      </c>
      <c r="E136" s="65" t="str">
        <f t="shared" si="26"/>
        <v xml:space="preserve">TJ FAVORIT BRNO </v>
      </c>
      <c r="F136" s="66">
        <f t="shared" si="27"/>
        <v>14284</v>
      </c>
      <c r="G136" s="67" t="str">
        <f t="shared" si="28"/>
        <v>JUNIOR*</v>
      </c>
      <c r="H136" s="67" t="str">
        <f t="shared" si="29"/>
        <v>FAV</v>
      </c>
      <c r="I136" s="199" t="s">
        <v>121</v>
      </c>
      <c r="J136" s="31"/>
      <c r="K136" s="31"/>
      <c r="P136" s="36"/>
      <c r="Q136" s="43">
        <v>92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>
        <v>126</v>
      </c>
      <c r="B137" s="99">
        <v>98</v>
      </c>
      <c r="C137" s="63" t="str">
        <f t="shared" si="24"/>
        <v>CZE19961029</v>
      </c>
      <c r="D137" s="64" t="str">
        <f t="shared" si="25"/>
        <v xml:space="preserve">STŘEDA Kryštof </v>
      </c>
      <c r="E137" s="65" t="str">
        <f t="shared" si="26"/>
        <v xml:space="preserve">TJ FAVORIT BRNO </v>
      </c>
      <c r="F137" s="66">
        <f t="shared" si="27"/>
        <v>11566</v>
      </c>
      <c r="G137" s="67" t="str">
        <f t="shared" si="28"/>
        <v>JUNIOR</v>
      </c>
      <c r="H137" s="67" t="str">
        <f t="shared" si="29"/>
        <v>FAV</v>
      </c>
      <c r="I137" s="199" t="s">
        <v>121</v>
      </c>
      <c r="J137" s="31"/>
      <c r="K137" s="31"/>
      <c r="P137" s="36"/>
      <c r="Q137" s="43">
        <v>98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>
        <v>127</v>
      </c>
      <c r="B138" s="99">
        <v>102</v>
      </c>
      <c r="C138" s="63" t="str">
        <f t="shared" si="24"/>
        <v>CZE19991218</v>
      </c>
      <c r="D138" s="64" t="str">
        <f t="shared" si="25"/>
        <v xml:space="preserve">HOLUBOVSKÝ Ondřej </v>
      </c>
      <c r="E138" s="65" t="str">
        <f t="shared" si="26"/>
        <v xml:space="preserve">TJ STADION LOUNY </v>
      </c>
      <c r="F138" s="66">
        <f t="shared" si="27"/>
        <v>12235</v>
      </c>
      <c r="G138" s="67" t="str">
        <f t="shared" si="28"/>
        <v>CADET*</v>
      </c>
      <c r="H138" s="67" t="str">
        <f t="shared" si="29"/>
        <v>LOU</v>
      </c>
      <c r="I138" s="199" t="s">
        <v>121</v>
      </c>
      <c r="J138" s="31"/>
      <c r="K138" s="31"/>
      <c r="P138" s="36"/>
      <c r="Q138" s="43">
        <v>102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>
        <v>128</v>
      </c>
      <c r="B139" s="99">
        <v>104</v>
      </c>
      <c r="C139" s="63" t="str">
        <f t="shared" si="24"/>
        <v>CZE19960702</v>
      </c>
      <c r="D139" s="64" t="str">
        <f t="shared" si="25"/>
        <v>DULAJ Jan</v>
      </c>
      <c r="E139" s="65" t="str">
        <f t="shared" si="26"/>
        <v>SKP DUHA FORT LANŠKROUN</v>
      </c>
      <c r="F139" s="66">
        <f t="shared" si="27"/>
        <v>119368</v>
      </c>
      <c r="G139" s="67" t="str">
        <f t="shared" si="28"/>
        <v>JUNIOR</v>
      </c>
      <c r="H139" s="67" t="str">
        <f t="shared" si="29"/>
        <v>LOU</v>
      </c>
      <c r="I139" s="199" t="s">
        <v>121</v>
      </c>
      <c r="J139" s="31"/>
      <c r="K139" s="31"/>
      <c r="P139" s="36"/>
      <c r="Q139" s="43">
        <v>104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>
        <v>129</v>
      </c>
      <c r="B140" s="99">
        <v>121</v>
      </c>
      <c r="C140" s="63" t="str">
        <f t="shared" ref="C140:C141" si="32">VLOOKUP(B140,STARTOVKA,2,0)</f>
        <v>CZE19981231</v>
      </c>
      <c r="D140" s="64" t="str">
        <f t="shared" si="25"/>
        <v xml:space="preserve">BAJER Vilém </v>
      </c>
      <c r="E140" s="65" t="str">
        <f t="shared" si="26"/>
        <v xml:space="preserve">SKC TUFO PROSTĚJOV </v>
      </c>
      <c r="F140" s="66">
        <f t="shared" si="27"/>
        <v>6871</v>
      </c>
      <c r="G140" s="67" t="str">
        <f t="shared" si="28"/>
        <v>CADET</v>
      </c>
      <c r="H140" s="67" t="str">
        <f t="shared" si="29"/>
        <v>SKC</v>
      </c>
      <c r="I140" s="199" t="s">
        <v>121</v>
      </c>
      <c r="J140" s="31"/>
      <c r="K140" s="31"/>
      <c r="P140" s="36"/>
      <c r="Q140" s="43">
        <v>121</v>
      </c>
      <c r="R140" s="41" t="s">
        <v>550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>
        <v>130</v>
      </c>
      <c r="B141" s="99">
        <v>138</v>
      </c>
      <c r="C141" s="63" t="str">
        <f t="shared" si="32"/>
        <v>CZE19961125</v>
      </c>
      <c r="D141" s="64" t="str">
        <f t="shared" si="25"/>
        <v xml:space="preserve">MODLITBA Vojtěch </v>
      </c>
      <c r="E141" s="65" t="str">
        <f t="shared" si="26"/>
        <v xml:space="preserve">H.M. SPORT ČESKÝ KRUMLOV </v>
      </c>
      <c r="F141" s="66">
        <f t="shared" si="27"/>
        <v>9819</v>
      </c>
      <c r="G141" s="67" t="str">
        <f t="shared" si="28"/>
        <v>JUNIOR</v>
      </c>
      <c r="H141" s="67" t="str">
        <f t="shared" si="29"/>
        <v>RCA</v>
      </c>
      <c r="I141" s="199" t="s">
        <v>121</v>
      </c>
      <c r="J141" s="31"/>
      <c r="K141" s="31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139</v>
      </c>
      <c r="D144" s="33"/>
      <c r="E144" s="33"/>
      <c r="F144" s="33"/>
    </row>
    <row r="145" spans="2:5" s="5" customFormat="1" ht="5.25" customHeight="1" x14ac:dyDescent="0.2">
      <c r="B145" s="10"/>
      <c r="C145" s="9"/>
      <c r="D145" s="11"/>
      <c r="E145" s="8"/>
    </row>
    <row r="146" spans="2:5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5" s="5" customFormat="1" ht="15" customHeight="1" x14ac:dyDescent="0.2">
      <c r="B147" s="192">
        <v>2</v>
      </c>
      <c r="C147" s="1"/>
      <c r="D147" s="151" t="s">
        <v>551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5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5" s="5" customFormat="1" ht="15" customHeight="1" x14ac:dyDescent="0.2">
      <c r="B149" s="192">
        <v>150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150  -   BRÁZDA Michal </v>
      </c>
    </row>
    <row r="150" spans="2:5" s="5" customFormat="1" ht="15" customHeight="1" x14ac:dyDescent="0.2"/>
    <row r="151" spans="2:5" s="5" customFormat="1" x14ac:dyDescent="0.2">
      <c r="B151" s="192">
        <v>22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22     -   HAUPT Tarik</v>
      </c>
    </row>
    <row r="171" spans="1:11" s="5" customFormat="1" ht="12" customHeight="1" x14ac:dyDescent="0.2">
      <c r="B171" s="18"/>
      <c r="C171" s="135"/>
      <c r="D171" s="70"/>
    </row>
    <row r="172" spans="1:11" s="5" customFormat="1" x14ac:dyDescent="0.2">
      <c r="C172" s="135"/>
    </row>
    <row r="173" spans="1:11" ht="6" customHeight="1" x14ac:dyDescent="0.2">
      <c r="A173" s="122"/>
      <c r="B173" s="122"/>
      <c r="C173" s="135"/>
      <c r="D173" s="122"/>
      <c r="E173" s="122"/>
      <c r="F173" s="122"/>
      <c r="G173" s="122"/>
      <c r="H173" s="122"/>
      <c r="I173" s="122"/>
      <c r="J173" s="122"/>
      <c r="K173" s="122"/>
    </row>
    <row r="174" spans="1:11" x14ac:dyDescent="0.2">
      <c r="A174" s="3"/>
      <c r="B174" s="3"/>
      <c r="C174" s="135"/>
      <c r="D174" s="3"/>
      <c r="E174" s="3"/>
      <c r="F174" s="3"/>
      <c r="G174" s="3"/>
      <c r="H174" s="3"/>
      <c r="I174" s="3"/>
      <c r="J174" s="3"/>
      <c r="K174" s="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 t="s">
        <v>43</v>
      </c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478</v>
      </c>
      <c r="D183" s="3"/>
      <c r="E183" s="3"/>
      <c r="F183" s="3"/>
      <c r="G183" s="3"/>
      <c r="H183" s="3"/>
      <c r="I183" s="3"/>
      <c r="J183" s="3"/>
      <c r="K183" s="3"/>
    </row>
    <row r="184" spans="1:11" ht="6" customHeight="1" x14ac:dyDescent="0.2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</row>
    <row r="185" spans="1:11" ht="11.45" customHeight="1" x14ac:dyDescent="0.2">
      <c r="A185" s="255" t="s">
        <v>44</v>
      </c>
      <c r="B185" s="255"/>
      <c r="C185" s="255"/>
      <c r="D185" s="255"/>
      <c r="E185" s="255"/>
      <c r="F185" s="255"/>
      <c r="G185" s="255"/>
      <c r="H185" s="255"/>
      <c r="I185" s="255"/>
      <c r="J185" s="255"/>
      <c r="K185" s="255"/>
    </row>
    <row r="199" spans="2:18" s="5" customFormat="1" ht="17.25" customHeight="1" x14ac:dyDescent="0.2">
      <c r="B199" s="32"/>
      <c r="C199" s="32" t="s">
        <v>62</v>
      </c>
      <c r="D199" s="33"/>
      <c r="E199" s="33"/>
      <c r="F199" s="33"/>
    </row>
    <row r="200" spans="2:18" s="5" customFormat="1" ht="5.25" customHeight="1" x14ac:dyDescent="0.2">
      <c r="B200" s="10"/>
      <c r="C200" s="9"/>
      <c r="D200" s="11"/>
      <c r="E200" s="8"/>
    </row>
    <row r="201" spans="2:18" s="5" customFormat="1" ht="12" customHeight="1" x14ac:dyDescent="0.2">
      <c r="B201" s="18">
        <v>1</v>
      </c>
      <c r="C201" s="135" t="s">
        <v>170</v>
      </c>
      <c r="D201" s="70" t="str">
        <f t="shared" ref="D201:D218" si="33">IFERROR(MID(VLOOKUP($C201,ODDIL,2,0),1,FIND(",",VLOOKUP($C201,ODDIL,2,0),1)-1) &amp;  "…", VLOOKUP($C201,ODDIL,2,0))</f>
        <v>TEAM BRANDENBURG - RSC COTTBUS</v>
      </c>
    </row>
    <row r="202" spans="2:18" s="5" customFormat="1" ht="12" customHeight="1" x14ac:dyDescent="0.2">
      <c r="B202" s="18">
        <v>2</v>
      </c>
      <c r="C202" s="135" t="s">
        <v>42</v>
      </c>
      <c r="D202" s="70" t="str">
        <f t="shared" si="33"/>
        <v xml:space="preserve">TJ FAVORIT BRNO </v>
      </c>
      <c r="R202" s="117"/>
    </row>
    <row r="203" spans="2:18" s="5" customFormat="1" ht="12" customHeight="1" x14ac:dyDescent="0.2">
      <c r="B203" s="18">
        <v>3</v>
      </c>
      <c r="C203" s="135" t="s">
        <v>211</v>
      </c>
      <c r="D203" s="70" t="str">
        <f t="shared" si="33"/>
        <v>GRUPA KOLARSKA GLIWICE BA…</v>
      </c>
      <c r="G203" s="165"/>
      <c r="R203" s="118"/>
    </row>
    <row r="204" spans="2:18" s="5" customFormat="1" ht="12" customHeight="1" x14ac:dyDescent="0.2">
      <c r="B204" s="18">
        <v>4</v>
      </c>
      <c r="C204" s="135" t="s">
        <v>236</v>
      </c>
      <c r="D204" s="70" t="str">
        <f t="shared" si="33"/>
        <v xml:space="preserve">DSR AUTHOR GÓRNIK WAŁBRZYCH </v>
      </c>
      <c r="F204" s="166" t="s">
        <v>128</v>
      </c>
      <c r="G204" s="167"/>
      <c r="H204" s="167"/>
      <c r="I204" s="167"/>
      <c r="J204" s="167"/>
    </row>
    <row r="205" spans="2:18" s="5" customFormat="1" ht="12" customHeight="1" x14ac:dyDescent="0.2">
      <c r="B205" s="18">
        <v>5</v>
      </c>
      <c r="C205" s="135" t="s">
        <v>250</v>
      </c>
      <c r="D205" s="70" t="str">
        <f t="shared" si="33"/>
        <v>KC KOOPERATIVA SG JABLONEC N.N…</v>
      </c>
    </row>
    <row r="206" spans="2:18" s="5" customFormat="1" ht="12" customHeight="1" x14ac:dyDescent="0.2">
      <c r="B206" s="18">
        <v>6</v>
      </c>
      <c r="C206" s="135" t="s">
        <v>346</v>
      </c>
      <c r="D206" s="70" t="str">
        <f t="shared" si="33"/>
        <v>TJ KOVO PRAHA…</v>
      </c>
      <c r="F206" s="259"/>
      <c r="G206" s="259"/>
      <c r="H206" s="259"/>
      <c r="I206" s="259"/>
      <c r="J206" s="259"/>
    </row>
    <row r="207" spans="2:18" s="5" customFormat="1" ht="12" customHeight="1" x14ac:dyDescent="0.2">
      <c r="B207" s="18">
        <v>7</v>
      </c>
      <c r="C207" s="135" t="s">
        <v>274</v>
      </c>
      <c r="D207" s="70" t="str">
        <f t="shared" si="33"/>
        <v>TJ STADION LOUNY …</v>
      </c>
      <c r="F207" s="259"/>
      <c r="G207" s="259"/>
      <c r="H207" s="259"/>
      <c r="I207" s="259"/>
      <c r="J207" s="259"/>
    </row>
    <row r="208" spans="2:18" s="5" customFormat="1" ht="12" customHeight="1" x14ac:dyDescent="0.2">
      <c r="B208" s="18">
        <v>8</v>
      </c>
      <c r="C208" s="135" t="s">
        <v>294</v>
      </c>
      <c r="D208" s="70" t="str">
        <f t="shared" si="33"/>
        <v xml:space="preserve">LRV STEIERMARK </v>
      </c>
      <c r="F208" s="259"/>
      <c r="G208" s="259"/>
      <c r="H208" s="259"/>
      <c r="I208" s="259"/>
      <c r="J208" s="259"/>
    </row>
    <row r="209" spans="2:10" s="5" customFormat="1" ht="12" customHeight="1" x14ac:dyDescent="0.2">
      <c r="B209" s="18">
        <v>9</v>
      </c>
      <c r="C209" s="135" t="s">
        <v>310</v>
      </c>
      <c r="D209" s="70" t="str">
        <f t="shared" si="33"/>
        <v xml:space="preserve">MAPEI CYKLO KAŇKOVSKÝ </v>
      </c>
      <c r="F209" s="259"/>
      <c r="G209" s="259"/>
      <c r="H209" s="259"/>
      <c r="I209" s="259"/>
      <c r="J209" s="259"/>
    </row>
    <row r="210" spans="2:10" s="5" customFormat="1" ht="12" customHeight="1" x14ac:dyDescent="0.2">
      <c r="B210" s="18">
        <v>10</v>
      </c>
      <c r="C210" s="135" t="s">
        <v>360</v>
      </c>
      <c r="D210" s="70" t="str">
        <f t="shared" si="33"/>
        <v>RC ARBÖ WELS GOURMETFEIN…</v>
      </c>
      <c r="F210" s="259"/>
      <c r="G210" s="259"/>
      <c r="H210" s="259"/>
      <c r="I210" s="259"/>
      <c r="J210" s="259"/>
    </row>
    <row r="211" spans="2:10" s="5" customFormat="1" ht="12" customHeight="1" x14ac:dyDescent="0.2">
      <c r="B211" s="18">
        <v>11</v>
      </c>
      <c r="C211" s="135" t="s">
        <v>332</v>
      </c>
      <c r="D211" s="70" t="str">
        <f t="shared" si="33"/>
        <v>REMERX - MERIDA TEAM KOLÍN…</v>
      </c>
      <c r="F211" s="259"/>
      <c r="G211" s="259"/>
      <c r="H211" s="259"/>
      <c r="I211" s="259"/>
      <c r="J211" s="259"/>
    </row>
    <row r="212" spans="2:10" s="5" customFormat="1" ht="12" customHeight="1" x14ac:dyDescent="0.2">
      <c r="B212" s="18">
        <v>12</v>
      </c>
      <c r="C212" s="135" t="s">
        <v>381</v>
      </c>
      <c r="D212" s="70" t="str">
        <f t="shared" si="33"/>
        <v>RG BERLIN</v>
      </c>
      <c r="F212" s="15"/>
      <c r="G212" s="15"/>
      <c r="H212" s="15"/>
      <c r="I212" s="15"/>
      <c r="J212" s="15"/>
    </row>
    <row r="213" spans="2:10" s="5" customFormat="1" ht="12" customHeight="1" x14ac:dyDescent="0.2">
      <c r="B213" s="18">
        <v>13</v>
      </c>
      <c r="C213" s="135" t="s">
        <v>99</v>
      </c>
      <c r="D213" s="70" t="str">
        <f t="shared" si="33"/>
        <v>RUSSIAN CYCLING FEDERATION</v>
      </c>
      <c r="F213" s="259"/>
      <c r="G213" s="259"/>
      <c r="H213" s="259"/>
      <c r="I213" s="259"/>
      <c r="J213" s="259"/>
    </row>
    <row r="214" spans="2:10" s="5" customFormat="1" ht="12" customHeight="1" x14ac:dyDescent="0.2">
      <c r="B214" s="18">
        <v>14</v>
      </c>
      <c r="C214" s="135" t="s">
        <v>405</v>
      </c>
      <c r="D214" s="70" t="str">
        <f t="shared" si="33"/>
        <v>JUNIOREN SCHWALBE TEAM SACHSEN</v>
      </c>
      <c r="F214" s="259"/>
      <c r="G214" s="259"/>
      <c r="H214" s="259"/>
      <c r="I214" s="259"/>
      <c r="J214" s="259"/>
    </row>
    <row r="215" spans="2:10" s="5" customFormat="1" ht="12" customHeight="1" x14ac:dyDescent="0.2">
      <c r="B215" s="18">
        <v>15</v>
      </c>
      <c r="C215" s="135" t="s">
        <v>100</v>
      </c>
      <c r="D215" s="70" t="str">
        <f t="shared" si="33"/>
        <v>SKC TUFO PROSTĚJOV…</v>
      </c>
      <c r="F215" s="259"/>
      <c r="G215" s="259"/>
      <c r="H215" s="259"/>
      <c r="I215" s="259"/>
      <c r="J215" s="259"/>
    </row>
    <row r="216" spans="2:10" s="5" customFormat="1" ht="12" customHeight="1" x14ac:dyDescent="0.2">
      <c r="B216" s="18">
        <v>16</v>
      </c>
      <c r="C216" s="135" t="s">
        <v>452</v>
      </c>
      <c r="D216" s="70" t="str">
        <f t="shared" si="33"/>
        <v>SLÁVIA ŠG TRENČÍN…</v>
      </c>
      <c r="F216" s="259"/>
      <c r="G216" s="259"/>
      <c r="H216" s="259"/>
      <c r="I216" s="259"/>
      <c r="J216" s="259"/>
    </row>
    <row r="217" spans="2:10" s="5" customFormat="1" ht="12" customHeight="1" x14ac:dyDescent="0.2">
      <c r="B217" s="18">
        <v>17</v>
      </c>
      <c r="C217" s="135" t="s">
        <v>43</v>
      </c>
      <c r="D217" s="70" t="str">
        <f t="shared" si="33"/>
        <v xml:space="preserve">SLOVAK CYCLING FEDERATION </v>
      </c>
      <c r="F217" s="259"/>
      <c r="G217" s="259"/>
      <c r="H217" s="259"/>
      <c r="I217" s="259"/>
      <c r="J217" s="259"/>
    </row>
    <row r="218" spans="2:10" s="5" customFormat="1" ht="12" customHeight="1" x14ac:dyDescent="0.2">
      <c r="B218" s="18">
        <v>18</v>
      </c>
      <c r="C218" s="135" t="s">
        <v>478</v>
      </c>
      <c r="D218" s="70" t="str">
        <f t="shared" si="33"/>
        <v>RSC TURBINE ERFURT…</v>
      </c>
      <c r="F218" s="259"/>
      <c r="G218" s="259"/>
      <c r="H218" s="259"/>
      <c r="I218" s="259"/>
      <c r="J218" s="259"/>
    </row>
  </sheetData>
  <sortState ref="B12:S141">
    <sortCondition ref="I12:I141"/>
    <sortCondition ref="P12:P141"/>
  </sortState>
  <mergeCells count="12">
    <mergeCell ref="F206:J211"/>
    <mergeCell ref="F213:J218"/>
    <mergeCell ref="A185:K185"/>
    <mergeCell ref="AB10:AE10"/>
    <mergeCell ref="P10:S10"/>
    <mergeCell ref="T10:W10"/>
    <mergeCell ref="X10:AA10"/>
    <mergeCell ref="A1:K1"/>
    <mergeCell ref="A2:K2"/>
    <mergeCell ref="D3:H3"/>
    <mergeCell ref="A5:K5"/>
    <mergeCell ref="A10:K10"/>
  </mergeCells>
  <conditionalFormatting sqref="M12:M141">
    <cfRule type="expression" dxfId="10" priority="1">
      <formula>AND(A12=0,M12&lt;&gt;"")</formula>
    </cfRule>
  </conditionalFormatting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CTRL</vt:lpstr>
      <vt:lpstr>PA1</vt:lpstr>
      <vt:lpstr>PA2</vt:lpstr>
      <vt:lpstr>PA3</vt:lpstr>
      <vt:lpstr>PA4</vt:lpstr>
      <vt:lpstr>SL</vt:lpstr>
      <vt:lpstr>SL2</vt:lpstr>
      <vt:lpstr>E1</vt:lpstr>
      <vt:lpstr>After1st</vt:lpstr>
      <vt:lpstr>E2</vt:lpstr>
      <vt:lpstr>After2nd</vt:lpstr>
      <vt:lpstr>PR1</vt:lpstr>
      <vt:lpstr>E3</vt:lpstr>
      <vt:lpstr>After3rd</vt:lpstr>
      <vt:lpstr>PR2</vt:lpstr>
      <vt:lpstr>GC1</vt:lpstr>
      <vt:lpstr>PR3</vt:lpstr>
      <vt:lpstr>GC2</vt:lpstr>
      <vt:lpstr>GC3</vt:lpstr>
      <vt:lpstr>AFTER2</vt:lpstr>
      <vt:lpstr>AFTER3</vt:lpstr>
      <vt:lpstr>BODO3</vt:lpstr>
      <vt:lpstr>'PR1'!BODOVACITST4</vt:lpstr>
      <vt:lpstr>ODDIL</vt:lpstr>
      <vt:lpstr>STARTOVKA</vt:lpstr>
      <vt:lpstr>VRCH3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worech</dc:creator>
  <cp:lastModifiedBy>Filip Rufer</cp:lastModifiedBy>
  <cp:lastPrinted>2014-08-09T16:14:29Z</cp:lastPrinted>
  <dcterms:created xsi:type="dcterms:W3CDTF">2008-03-30T08:35:24Z</dcterms:created>
  <dcterms:modified xsi:type="dcterms:W3CDTF">2014-08-09T16:14:37Z</dcterms:modified>
</cp:coreProperties>
</file>